
<file path=[Content_Types].xml><?xml version="1.0" encoding="utf-8"?>
<Types xmlns="http://schemas.openxmlformats.org/package/2006/content-types">
  <Default ContentType="application/vnd.openxmlformats-officedocument.spreadsheetml.sheet.mai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package.relationships+xml" PartName="/xl/worksheets/_rels/sheet1.xml.rels"/>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date1904="false" showObjects="all"/>
  <workbookProtection/>
  <bookViews>
    <workbookView activeTab="0" firstSheet="0" showHorizontalScroll="true" showSheetTabs="true" showVerticalScroll="true" tabRatio="500" windowHeight="8192" windowWidth="16384" xWindow="0" yWindow="0"/>
  </bookViews>
  <sheets>
    <sheet name="Report" r:id="rId2" sheetId="1" state="visible"/>
    <sheet name="Last Week" r:id="rId3" sheetId="2" state="visible"/>
  </sheets>
  <definedNames>
    <definedName function="false" hidden="true" localSheetId="0" name="_xlnm._FilterDatabase" vbProcedure="false">Report!$A$3:$P$400</definedName>
    <definedName function="false" hidden="false" name="__bookmark_1" vbProcedure="false">Report!$A$2:$P$403</definedName>
  </definedNames>
  <calcPr iterate="false"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<sst xmlns="http://schemas.openxmlformats.org/spreadsheetml/2006/main" count="5570" uniqueCount="975">
  <si>
    <t xml:space="preserve">LATAM-SD-BI-MSTR-SR-V1</t>
  </si>
  <si>
    <t xml:space="preserve">Solicitud de servicio</t>
  </si>
  <si>
    <t xml:space="preserve">Resumen</t>
  </si>
  <si>
    <t xml:space="preserve">Notificado por</t>
  </si>
  <si>
    <t xml:space="preserve">Creado por</t>
  </si>
  <si>
    <t xml:space="preserve">Estado</t>
  </si>
  <si>
    <t xml:space="preserve">Fecha de estado</t>
  </si>
  <si>
    <t xml:space="preserve">Fecha de creación</t>
  </si>
  <si>
    <t xml:space="preserve">Grupo propietario</t>
  </si>
  <si>
    <t xml:space="preserve">Propietario</t>
  </si>
  <si>
    <t xml:space="preserve">SR1301530</t>
  </si>
  <si>
    <t xml:space="preserve">alta de microstrategy</t>
  </si>
  <si>
    <t xml:space="preserve">NSZEMIS@DIRECTVLA.COM.AR</t>
  </si>
  <si>
    <t xml:space="preserve">COTTINO@DIRECTVLA.COM.AR</t>
  </si>
  <si>
    <t xml:space="preserve">CLOSED</t>
  </si>
  <si>
    <t xml:space="preserve">LATAM-SD-BI-MSTR</t>
  </si>
  <si>
    <t xml:space="preserve">IMONZON@DIRECTVLA.COM.AR</t>
  </si>
  <si>
    <t xml:space="preserve">SR1301586</t>
  </si>
  <si>
    <t xml:space="preserve">Pedido de Reporte</t>
  </si>
  <si>
    <t xml:space="preserve">RDEIBE@DIRECTVLA.COM.AR</t>
  </si>
  <si>
    <t xml:space="preserve">SENNA@DIRECTVLA.COM.AR</t>
  </si>
  <si>
    <t xml:space="preserve">SR1301796</t>
  </si>
  <si>
    <t xml:space="preserve">Revisar acceso a MICROSTRATEGY(SR1249806)</t>
  </si>
  <si>
    <t xml:space="preserve">JDELEON@DIRECTVLA.COM.UY</t>
  </si>
  <si>
    <t xml:space="preserve">FPACHECO2@DIRECTVLA.COM.AR</t>
  </si>
  <si>
    <t xml:space="preserve">SR1301852</t>
  </si>
  <si>
    <t xml:space="preserve">RV: autorización reportes operativos</t>
  </si>
  <si>
    <t xml:space="preserve">TCHAME@DIRECTVLA.COM.AR</t>
  </si>
  <si>
    <t xml:space="preserve">DAJALIN@DIRECTVLA.COM.AR</t>
  </si>
  <si>
    <t xml:space="preserve">ETRONCOS@DIRECTVLA.COM.AR</t>
  </si>
  <si>
    <t xml:space="preserve">SR1301957</t>
  </si>
  <si>
    <t xml:space="preserve">churn</t>
  </si>
  <si>
    <t xml:space="preserve">MAPALIZ@DIRECTV.COM.EC</t>
  </si>
  <si>
    <t xml:space="preserve">TRUFRANO@DIRECTVLA.COM.AR</t>
  </si>
  <si>
    <t xml:space="preserve">SR1303563</t>
  </si>
  <si>
    <t xml:space="preserve">Nueva PLANIFICACION en MicroStrategy</t>
  </si>
  <si>
    <t xml:space="preserve">JPONS@DIRECTVLA.COM.AR</t>
  </si>
  <si>
    <t xml:space="preserve">EZELIA@DIRECTVLA.COM.AR</t>
  </si>
  <si>
    <t xml:space="preserve">SR1303925</t>
  </si>
  <si>
    <t xml:space="preserve">Reporte de retenciones postpago</t>
  </si>
  <si>
    <t xml:space="preserve">MGCANDO@DIRECTV.COM.EC</t>
  </si>
  <si>
    <t xml:space="preserve">GFMORONI@DIRECTVLA.COM.AR</t>
  </si>
  <si>
    <t xml:space="preserve">SR1305522</t>
  </si>
  <si>
    <t xml:space="preserve">Errores con correo y Microstrategy</t>
  </si>
  <si>
    <t xml:space="preserve">MDAROSA@DIRECTVLA.COM.UY</t>
  </si>
  <si>
    <t xml:space="preserve">LNIEVAS@DIRECTVLA.COM.AR</t>
  </si>
  <si>
    <t xml:space="preserve">DEMAZA@DIRECTVLA.COM.AR</t>
  </si>
  <si>
    <t xml:space="preserve">SR1305671</t>
  </si>
  <si>
    <t xml:space="preserve">Acceso a microstrategy</t>
  </si>
  <si>
    <t xml:space="preserve">CCASTELLANOS@DIRECTV.PE</t>
  </si>
  <si>
    <t xml:space="preserve">JMONTER3@DIRECTVLA.COM.AR</t>
  </si>
  <si>
    <t xml:space="preserve">SR1305672</t>
  </si>
  <si>
    <t xml:space="preserve">SR1306148</t>
  </si>
  <si>
    <t xml:space="preserve">Usuarios sin accesos 60 d?as</t>
  </si>
  <si>
    <t xml:space="preserve">DOTERO@DIRECTVLA.COM.AR</t>
  </si>
  <si>
    <t xml:space="preserve">PCHIESA@DIRECTVLA.COM.AR</t>
  </si>
  <si>
    <t xml:space="preserve">SR1306165</t>
  </si>
  <si>
    <t xml:space="preserve">Publicar documentación Microstrategy</t>
  </si>
  <si>
    <t xml:space="preserve">CNACIMBERA@DIRECTVLA.COM.AR</t>
  </si>
  <si>
    <t xml:space="preserve">SR1306637</t>
  </si>
  <si>
    <t xml:space="preserve">Cali - Reporting - ticket en proceso</t>
  </si>
  <si>
    <t xml:space="preserve">SEBROL@DIRECTVLA.COM.CO</t>
  </si>
  <si>
    <t xml:space="preserve">JUASOL@DIRECTVLA.COM.CO</t>
  </si>
  <si>
    <t xml:space="preserve">SR1307131</t>
  </si>
  <si>
    <t xml:space="preserve">-Reactivación cuenta de Nelson Merced</t>
  </si>
  <si>
    <t xml:space="preserve">ILOPEZV@DIRECTVPR.COM</t>
  </si>
  <si>
    <t xml:space="preserve">SR1307461</t>
  </si>
  <si>
    <t xml:space="preserve">Request to Remove Recipients from Email Subsription to BI Reports</t>
  </si>
  <si>
    <t xml:space="preserve">AATTZS@DIRECTVTT.COM</t>
  </si>
  <si>
    <t xml:space="preserve">SR1307579</t>
  </si>
  <si>
    <t xml:space="preserve">Acceso operations Microstrategy</t>
  </si>
  <si>
    <t xml:space="preserve">GCALAGUA@DIRECTV.PE</t>
  </si>
  <si>
    <t xml:space="preserve">FGALARZA@DIRECTVLA.COM.AR</t>
  </si>
  <si>
    <t xml:space="preserve">SR1307979</t>
  </si>
  <si>
    <t xml:space="preserve">Error de acceso</t>
  </si>
  <si>
    <t xml:space="preserve">MCARRASCOH@DIRECTV.CL</t>
  </si>
  <si>
    <t xml:space="preserve">SR1311041</t>
  </si>
  <si>
    <t xml:space="preserve">Microstrategy Report missing data</t>
  </si>
  <si>
    <t xml:space="preserve">JKHAN@DIRECTVTT.COM</t>
  </si>
  <si>
    <t xml:space="preserve">SR1311144</t>
  </si>
  <si>
    <t xml:space="preserve">Cambio conexión IBS UY - Microstrategy Desarrollo</t>
  </si>
  <si>
    <t xml:space="preserve">MMUNOZW@DIRECTVLA.COM.AR</t>
  </si>
  <si>
    <t xml:space="preserve">SR1311273</t>
  </si>
  <si>
    <t xml:space="preserve">Pedido de datos</t>
  </si>
  <si>
    <t xml:space="preserve">RLOPEZ@DIRECTVLA.COM.AR</t>
  </si>
  <si>
    <t xml:space="preserve">CANCELLED</t>
  </si>
  <si>
    <t xml:space="preserve">SR1311286</t>
  </si>
  <si>
    <t xml:space="preserve">Creación de SR para realizar mapeo en Microstrategy</t>
  </si>
  <si>
    <t xml:space="preserve">EPASCUSSO@DIRECTVLA.COM.AR</t>
  </si>
  <si>
    <t xml:space="preserve">SR1311310</t>
  </si>
  <si>
    <t xml:space="preserve">SR1311414</t>
  </si>
  <si>
    <t xml:space="preserve">Cali  Alta Supervisores</t>
  </si>
  <si>
    <t xml:space="preserve">JUABEJ@DIRECTVLA.COM.CO</t>
  </si>
  <si>
    <t xml:space="preserve">ERISTU@DIRECTVLA.COM.CO</t>
  </si>
  <si>
    <t xml:space="preserve">SR1311641</t>
  </si>
  <si>
    <t xml:space="preserve">Modificar la conexión de IBS Caribe Online en Microstrategy</t>
  </si>
  <si>
    <t xml:space="preserve">HFURLONG@DIRECTVLA.COM.AR</t>
  </si>
  <si>
    <t xml:space="preserve">SR1311854</t>
  </si>
  <si>
    <t xml:space="preserve">Cambio conexión IBS CARIBE - Microstrategy</t>
  </si>
  <si>
    <t xml:space="preserve">SR1311858</t>
  </si>
  <si>
    <t xml:space="preserve">Cambio conexión IBS COLOMBIA - Microstrategy</t>
  </si>
  <si>
    <t xml:space="preserve">SR1312612</t>
  </si>
  <si>
    <t xml:space="preserve">MCALLEJA@DIRECTVLA.COM.UY</t>
  </si>
  <si>
    <t xml:space="preserve">SR1313705</t>
  </si>
  <si>
    <t xml:space="preserve">Restablecer usuario Righy Meneses en MicroStrategy</t>
  </si>
  <si>
    <t xml:space="preserve">SR1314769</t>
  </si>
  <si>
    <t xml:space="preserve">ABM - Microstrategy</t>
  </si>
  <si>
    <t xml:space="preserve">CVILLAR2@DIRECTVLA.COM.AR</t>
  </si>
  <si>
    <t xml:space="preserve">NSAYES@DIRECTVLA.COM.AR</t>
  </si>
  <si>
    <t xml:space="preserve">LALBARRA@DIRECTVLA.COM.AR</t>
  </si>
  <si>
    <t xml:space="preserve">SR1315287</t>
  </si>
  <si>
    <t xml:space="preserve">Reporte Premiums 2015-2017 MicroS</t>
  </si>
  <si>
    <t xml:space="preserve">EMRIVADENEIRA@DIRECTV.COM.EC</t>
  </si>
  <si>
    <t xml:space="preserve">SR1315433</t>
  </si>
  <si>
    <t xml:space="preserve">Rehabilitacion de user Microestrategy</t>
  </si>
  <si>
    <t xml:space="preserve">MRODRI22@DIRECTVLA.COM.AR</t>
  </si>
  <si>
    <t xml:space="preserve">SR1315448</t>
  </si>
  <si>
    <t xml:space="preserve">Baja de usuarios en Microstrategy</t>
  </si>
  <si>
    <t xml:space="preserve">MBERNARD@DIRECTVLA.COM.AR</t>
  </si>
  <si>
    <t xml:space="preserve">SR1315567</t>
  </si>
  <si>
    <t xml:space="preserve">Bogota- performance - Solicitud de Usuario Microstrategy Analista Performance Management</t>
  </si>
  <si>
    <t xml:space="preserve">LSUAREZ7@DTVPAN.COM</t>
  </si>
  <si>
    <t xml:space="preserve">JULTOR1@DIRECTVLA.COM.CO</t>
  </si>
  <si>
    <t xml:space="preserve">SR1315906</t>
  </si>
  <si>
    <t xml:space="preserve">Rehabilitación de usuario en BI</t>
  </si>
  <si>
    <t xml:space="preserve">GBAQUELA@DIRECTVLA.COM.AR</t>
  </si>
  <si>
    <t xml:space="preserve">MFRANCUC@DIRECTVLA.COM.AR</t>
  </si>
  <si>
    <t xml:space="preserve">SR1315995</t>
  </si>
  <si>
    <t xml:space="preserve">SR1316016</t>
  </si>
  <si>
    <t xml:space="preserve">Blanqueo de clave</t>
  </si>
  <si>
    <t xml:space="preserve">IROCHA@DIRECTVLA.COM.AR</t>
  </si>
  <si>
    <t xml:space="preserve">SR1316395</t>
  </si>
  <si>
    <t xml:space="preserve">Información adicional Microestrategy</t>
  </si>
  <si>
    <t xml:space="preserve">ARMARQUEZ@DIRECTVLA.COM.AR</t>
  </si>
  <si>
    <t xml:space="preserve">SR1316821</t>
  </si>
  <si>
    <t xml:space="preserve">Reportes - Modificacion de reporte</t>
  </si>
  <si>
    <t xml:space="preserve">ANSAYAGO@DIRECTVLA.COM.VE</t>
  </si>
  <si>
    <t xml:space="preserve">NOMENDEZ@DIRECTVLA.COM.VE</t>
  </si>
  <si>
    <t xml:space="preserve">SR1316824</t>
  </si>
  <si>
    <t xml:space="preserve">Cali - Reporting - PERMISOS DE USUARIO EN MICROSTRATEGY</t>
  </si>
  <si>
    <t xml:space="preserve">LEIHIN@DIRECTVLA.COM.CO</t>
  </si>
  <si>
    <t xml:space="preserve">SR1317042</t>
  </si>
  <si>
    <t xml:space="preserve">Cali - Reporting - Alta Supervisores REC/REN/TLV/RET MicroStrategy 47 Usuarios</t>
  </si>
  <si>
    <t xml:space="preserve">SR1317104</t>
  </si>
  <si>
    <t xml:space="preserve">MICROSTRATEGY - en base del SR1313171</t>
  </si>
  <si>
    <t xml:space="preserve">GOCON@DIRECTVLA.COM.AR</t>
  </si>
  <si>
    <t xml:space="preserve">SR1317508</t>
  </si>
  <si>
    <t xml:space="preserve">Eliminar suscripciones</t>
  </si>
  <si>
    <t xml:space="preserve">MMARQUEZ@DIRECTV.PE</t>
  </si>
  <si>
    <t xml:space="preserve">SR1317716</t>
  </si>
  <si>
    <t xml:space="preserve">Estado del usuario</t>
  </si>
  <si>
    <t xml:space="preserve">VLATTEMA@DIRECTVLA.COM.AR</t>
  </si>
  <si>
    <t xml:space="preserve">SR1317916</t>
  </si>
  <si>
    <t xml:space="preserve">PPM 114282 - Agregar campos a Verint</t>
  </si>
  <si>
    <t xml:space="preserve">JFERLIJI@DIRECTVLA.COM.AR</t>
  </si>
  <si>
    <t xml:space="preserve">SR1318338</t>
  </si>
  <si>
    <t xml:space="preserve">PERMISOS DE USUARIO EN MICROSTRATEGY</t>
  </si>
  <si>
    <t xml:space="preserve">SR1318413</t>
  </si>
  <si>
    <t xml:space="preserve">Alta Supervisores REC/REN/TLV/RET MicroStrategy 47 Usuarios</t>
  </si>
  <si>
    <t xml:space="preserve">SR1318459</t>
  </si>
  <si>
    <t xml:space="preserve">MICROESTRATEGY - Alta de usuario</t>
  </si>
  <si>
    <t xml:space="preserve">JMAXIMO@DIRECTVLA.COM.AR</t>
  </si>
  <si>
    <t xml:space="preserve">SR1318678</t>
  </si>
  <si>
    <t xml:space="preserve">Quitar permiso en Microstrategy</t>
  </si>
  <si>
    <t xml:space="preserve">PHERMOSI@DIRECTVLA.COM.AR</t>
  </si>
  <si>
    <t xml:space="preserve">SR1318902</t>
  </si>
  <si>
    <t xml:space="preserve">Reportes de planeamiento financieto no generados</t>
  </si>
  <si>
    <t xml:space="preserve">SR1319000</t>
  </si>
  <si>
    <t xml:space="preserve">no puede acceder a  Microstrategy</t>
  </si>
  <si>
    <t xml:space="preserve">DMORENO2@DIRECTVLA.COM.AR</t>
  </si>
  <si>
    <t xml:space="preserve">SR1319674</t>
  </si>
  <si>
    <t xml:space="preserve">Alta Supervisores MicroStrategy 69 Usuarios</t>
  </si>
  <si>
    <t xml:space="preserve">SR1319824</t>
  </si>
  <si>
    <t xml:space="preserve">RV: Solicitud de Usuario Microstrategy Analista Performance Management</t>
  </si>
  <si>
    <t xml:space="preserve">LUIS.SUAREZ@DIRECTVTLC.COM</t>
  </si>
  <si>
    <t xml:space="preserve">JEFASSI@DIRECTVLA.COM.AR</t>
  </si>
  <si>
    <t xml:space="preserve">SR1320372</t>
  </si>
  <si>
    <t xml:space="preserve">Consulta por alta Microestrategy</t>
  </si>
  <si>
    <t xml:space="preserve">SR1320374</t>
  </si>
  <si>
    <t xml:space="preserve">Argentina,Gestion de Accesos,ABM Acceso a aplicaciones</t>
  </si>
  <si>
    <t xml:space="preserve">SR1320612</t>
  </si>
  <si>
    <t xml:space="preserve">Alta en microstrategy</t>
  </si>
  <si>
    <t xml:space="preserve">TFIJTMAN@DIRECTVLA.COM.AR</t>
  </si>
  <si>
    <t xml:space="preserve">CCORDOBA@DIRECTVLA.COM.AR</t>
  </si>
  <si>
    <t xml:space="preserve">SR1320727</t>
  </si>
  <si>
    <t xml:space="preserve">generar un schedule en Microstrategy</t>
  </si>
  <si>
    <t xml:space="preserve">FGULMEZ@DIRECTVLA.COM.AR</t>
  </si>
  <si>
    <t xml:space="preserve">SR1323271</t>
  </si>
  <si>
    <t xml:space="preserve">Restablecer usuario Carlos Enrique Vargas Torres en MicroStrategy</t>
  </si>
  <si>
    <t xml:space="preserve">SR1324468</t>
  </si>
  <si>
    <t xml:space="preserve">DAR DE BAJA USUARIO EN MICROSTRATEGY</t>
  </si>
  <si>
    <t xml:space="preserve">SR1324750</t>
  </si>
  <si>
    <t xml:space="preserve">Command Manager Script cambio de propietario</t>
  </si>
  <si>
    <t xml:space="preserve">AREYES1@DIRECTVLA.COM.VE</t>
  </si>
  <si>
    <t xml:space="preserve">SR1324882</t>
  </si>
  <si>
    <t xml:space="preserve">Usuarios sin accesos por 60 días a Microstrategy</t>
  </si>
  <si>
    <t xml:space="preserve">SR1324886</t>
  </si>
  <si>
    <t xml:space="preserve">Publicar Documentación de Microstrategy</t>
  </si>
  <si>
    <t xml:space="preserve">SR1325335</t>
  </si>
  <si>
    <t xml:space="preserve">Falla de acceso a Microstrategy</t>
  </si>
  <si>
    <t xml:space="preserve">PIBACACHES@DIRECTV.CL</t>
  </si>
  <si>
    <t xml:space="preserve">SR1325344</t>
  </si>
  <si>
    <t xml:space="preserve">Usuarios con +1 Comunidad</t>
  </si>
  <si>
    <t xml:space="preserve">SR1325346</t>
  </si>
  <si>
    <t xml:space="preserve">ABM  - Microstrategy</t>
  </si>
  <si>
    <t xml:space="preserve">SR1326108</t>
  </si>
  <si>
    <t xml:space="preserve">Alta en MicroStrategy</t>
  </si>
  <si>
    <t xml:space="preserve">MIBANEZ@DIRECTVLA.COM.AR</t>
  </si>
  <si>
    <t xml:space="preserve">GGRUBISA@DIRECTVLA.COM.AR</t>
  </si>
  <si>
    <t xml:space="preserve">SR1326334</t>
  </si>
  <si>
    <t xml:space="preserve">PPM 113401 - MiDirectv - Mapeo Tablas Nuevas</t>
  </si>
  <si>
    <t xml:space="preserve">SR1326677</t>
  </si>
  <si>
    <t xml:space="preserve">Restablecer usuario Katherine Vergez en MicroStrategy</t>
  </si>
  <si>
    <t xml:space="preserve">SR1326952</t>
  </si>
  <si>
    <t xml:space="preserve">Modificar permisos BI</t>
  </si>
  <si>
    <t xml:space="preserve">PSCHONFE@DIRECTVLA.COM.AR</t>
  </si>
  <si>
    <t xml:space="preserve">SR1327145</t>
  </si>
  <si>
    <t xml:space="preserve">PRIORIDAD ALTA: Reporte de Datos de CLientes Corporativos</t>
  </si>
  <si>
    <t xml:space="preserve">HORTECHO@DIRECTV.PE</t>
  </si>
  <si>
    <t xml:space="preserve">SR1328569</t>
  </si>
  <si>
    <t xml:space="preserve">revisar el acco a MICRO(SR1319824)</t>
  </si>
  <si>
    <t xml:space="preserve">SR1328830</t>
  </si>
  <si>
    <t xml:space="preserve">AC - Microstrategy - ABM</t>
  </si>
  <si>
    <t xml:space="preserve">LORSARIA@DIRECTVLA.COM.AR</t>
  </si>
  <si>
    <t xml:space="preserve">SR1329732</t>
  </si>
  <si>
    <t xml:space="preserve">Iceberg - Modulo Disponibilidad - Error en Metrica</t>
  </si>
  <si>
    <t xml:space="preserve">SR1330260</t>
  </si>
  <si>
    <t xml:space="preserve">Microstrategy - ABM</t>
  </si>
  <si>
    <t xml:space="preserve">DGBETANCOURT@DIRECTV.COM.EC</t>
  </si>
  <si>
    <t xml:space="preserve">WRALONSO@DIRECTVLA.COM.AR</t>
  </si>
  <si>
    <t xml:space="preserve">SR1330505</t>
  </si>
  <si>
    <t xml:space="preserve">Crear listado de mails dinamico</t>
  </si>
  <si>
    <t xml:space="preserve">CHENKIN@DIRECTVLA.COM.AR</t>
  </si>
  <si>
    <t xml:space="preserve">SR1330947</t>
  </si>
  <si>
    <t xml:space="preserve">Urgente RE: IN909029  Ingreso Microstrategy</t>
  </si>
  <si>
    <t xml:space="preserve">DORMAL@DIRECTVLA.COM.CO</t>
  </si>
  <si>
    <t xml:space="preserve">SR1331039</t>
  </si>
  <si>
    <t xml:space="preserve">Agregar métricas de Cambios 60 / detalle - Mapeo en Microstrategy</t>
  </si>
  <si>
    <t xml:space="preserve">SR1331597</t>
  </si>
  <si>
    <t xml:space="preserve">No puede acceder a usuario de Microstrategy</t>
  </si>
  <si>
    <t xml:space="preserve">ALIENDO@DIRECTVLA.COM.AR</t>
  </si>
  <si>
    <t xml:space="preserve">LDUTRA@DIRECTVLA.COM.AR</t>
  </si>
  <si>
    <t xml:space="preserve">SR1332372</t>
  </si>
  <si>
    <t xml:space="preserve">SR1332454</t>
  </si>
  <si>
    <t xml:space="preserve">Error de acceso a Microstrategy</t>
  </si>
  <si>
    <t xml:space="preserve">ABZAMBRANO@DIRECTV.COM.EC</t>
  </si>
  <si>
    <t xml:space="preserve">SR1332814</t>
  </si>
  <si>
    <t xml:space="preserve">RV: Mapeo Form USU_NAME en el atributo Usuario Asignado Contacto (Carpeta Contactos)</t>
  </si>
  <si>
    <t xml:space="preserve">SR1333074</t>
  </si>
  <si>
    <t xml:space="preserve">Acceso a Microestrategy.</t>
  </si>
  <si>
    <t xml:space="preserve">ANYEST@DIRECTVLA.COM.CO</t>
  </si>
  <si>
    <t xml:space="preserve">SR1334454</t>
  </si>
  <si>
    <t xml:space="preserve">Acceso MICRO(SR1327044)</t>
  </si>
  <si>
    <t xml:space="preserve">ANICOLAO@DIRECTVLA.COM.AR</t>
  </si>
  <si>
    <t xml:space="preserve">SR1334791</t>
  </si>
  <si>
    <t xml:space="preserve">Microtestrategy - Verificar recepcion de reporte</t>
  </si>
  <si>
    <t xml:space="preserve">ISABATINO@DIRECTVLA.COM.VE</t>
  </si>
  <si>
    <t xml:space="preserve">SR1335906</t>
  </si>
  <si>
    <t xml:space="preserve">Creacion usuario Cinthya Garza Martinez en Microstrategy</t>
  </si>
  <si>
    <t xml:space="preserve">SR1335945</t>
  </si>
  <si>
    <t xml:space="preserve">JUBALTON@DIRECTVLA.COM.AR</t>
  </si>
  <si>
    <t xml:space="preserve">SR1336064</t>
  </si>
  <si>
    <t xml:space="preserve">SR1336671</t>
  </si>
  <si>
    <t xml:space="preserve">PPM 115157 - C.Care - Estado de Cuenta</t>
  </si>
  <si>
    <t xml:space="preserve">SR1336906</t>
  </si>
  <si>
    <t xml:space="preserve">Creacion usuario Cecilia Molina en Microstrategy</t>
  </si>
  <si>
    <t xml:space="preserve">SR1337909</t>
  </si>
  <si>
    <t xml:space="preserve">Restablecer usuario Fabian Saavedra Ruiz en Microstrategy</t>
  </si>
  <si>
    <t xml:space="preserve">SR1338032</t>
  </si>
  <si>
    <t xml:space="preserve">Creación  de usuarios en Microstrategy</t>
  </si>
  <si>
    <t xml:space="preserve">SR1338071</t>
  </si>
  <si>
    <t xml:space="preserve">Reactivar Usuario en MicroStrategy</t>
  </si>
  <si>
    <t xml:space="preserve">SR1338684</t>
  </si>
  <si>
    <t xml:space="preserve">MR31 Ecuador - SUAT - Migrar reportes Microstrategy solicitados por el Negocio</t>
  </si>
  <si>
    <t xml:space="preserve">SR1338776</t>
  </si>
  <si>
    <t xml:space="preserve">Alta Microestrategy</t>
  </si>
  <si>
    <t xml:space="preserve">SMTOLOZA@DIRECTVLA.COM.AR</t>
  </si>
  <si>
    <t xml:space="preserve">CGARCI14@DIRECTVLA.COM.AR</t>
  </si>
  <si>
    <t xml:space="preserve">SR1338916</t>
  </si>
  <si>
    <t xml:space="preserve">Alta de usuario en microstrategy</t>
  </si>
  <si>
    <t xml:space="preserve">DPASSERI@DIRECTVLA.COM.AR</t>
  </si>
  <si>
    <t xml:space="preserve">GRAINO@DIRECTVLA.COM.AR</t>
  </si>
  <si>
    <t xml:space="preserve">SR1340139</t>
  </si>
  <si>
    <t xml:space="preserve">error en Microstrategy</t>
  </si>
  <si>
    <t xml:space="preserve">AMPHER@DIRECTVLA.COM.CO</t>
  </si>
  <si>
    <t xml:space="preserve">SR1340191</t>
  </si>
  <si>
    <t xml:space="preserve">Solicitud Reactivación de Usuario</t>
  </si>
  <si>
    <t xml:space="preserve">JMOYETONES@DIRECTVLA.COM.VE</t>
  </si>
  <si>
    <t xml:space="preserve">SR1340209</t>
  </si>
  <si>
    <t xml:space="preserve">Alta de usuario Jessica Valdez</t>
  </si>
  <si>
    <t xml:space="preserve">ACRIMI@DIRECTVLA.COM.AR</t>
  </si>
  <si>
    <t xml:space="preserve">SR1340774</t>
  </si>
  <si>
    <t xml:space="preserve">Rehabilitación de usuario</t>
  </si>
  <si>
    <t xml:space="preserve">SR1340918</t>
  </si>
  <si>
    <t xml:space="preserve">MR31 Ecuador - SUAT - Resolución de incidentes de Spira</t>
  </si>
  <si>
    <t xml:space="preserve">SR1341158</t>
  </si>
  <si>
    <t xml:space="preserve">ABM: Microstrategy</t>
  </si>
  <si>
    <t xml:space="preserve">SR1341727</t>
  </si>
  <si>
    <t xml:space="preserve">Restablecer usuarios Maximiliano Contreras,Luis Daniel Antonelli,Helios Fachino en Microstrategy</t>
  </si>
  <si>
    <t xml:space="preserve">SR1342210</t>
  </si>
  <si>
    <t xml:space="preserve">Rehabilitación usuario BI</t>
  </si>
  <si>
    <t xml:space="preserve">SR1342747</t>
  </si>
  <si>
    <t xml:space="preserve">Creacion usuario Paola Estrada en Microstrategy</t>
  </si>
  <si>
    <t xml:space="preserve">SR1343430</t>
  </si>
  <si>
    <t xml:space="preserve">Revisión ingreso a Microstrategy</t>
  </si>
  <si>
    <t xml:space="preserve">VXMADERA@DIRECTV.COM.EC</t>
  </si>
  <si>
    <t xml:space="preserve">SR1346046</t>
  </si>
  <si>
    <t xml:space="preserve">MICRO DANIEL SIERRA</t>
  </si>
  <si>
    <t xml:space="preserve">EDSIERRA@DIRECTV.COM.EC</t>
  </si>
  <si>
    <t xml:space="preserve">SR1346320</t>
  </si>
  <si>
    <t xml:space="preserve">RV: Usuarios sin accesos 60 d?as</t>
  </si>
  <si>
    <t xml:space="preserve">SR1346349</t>
  </si>
  <si>
    <t xml:space="preserve">Publicar Documentación Microstrategy</t>
  </si>
  <si>
    <t xml:space="preserve">SR1346453</t>
  </si>
  <si>
    <t xml:space="preserve">ABM USERS BI_v2 8 (SEBASTIAN GUTIERREZ).xlsx</t>
  </si>
  <si>
    <t xml:space="preserve">KLPROANO@DIRECTV.COM.EC</t>
  </si>
  <si>
    <t xml:space="preserve">SR1346632</t>
  </si>
  <si>
    <t xml:space="preserve">Creación usuarios en Microstrategy</t>
  </si>
  <si>
    <t xml:space="preserve">SR1346870</t>
  </si>
  <si>
    <t xml:space="preserve">Correccion de usuario</t>
  </si>
  <si>
    <t xml:space="preserve">SR1346884</t>
  </si>
  <si>
    <t xml:space="preserve">RESUELTO – La solicitud de servicio SR1341732 fue completada</t>
  </si>
  <si>
    <t xml:space="preserve">SR1347460</t>
  </si>
  <si>
    <t xml:space="preserve">Restablecer usuario Oceania Torres en Microstrategy</t>
  </si>
  <si>
    <t xml:space="preserve">SR1348110</t>
  </si>
  <si>
    <t xml:space="preserve">Alta en BI</t>
  </si>
  <si>
    <t xml:space="preserve">SR1348868</t>
  </si>
  <si>
    <t xml:space="preserve">ABM: Microstrategy (viene del Ticket SR1339131)</t>
  </si>
  <si>
    <t xml:space="preserve">SR1348896</t>
  </si>
  <si>
    <t xml:space="preserve">ABM: Microstrategy (viene del Ticket SR1341674)</t>
  </si>
  <si>
    <t xml:space="preserve">SR1349170</t>
  </si>
  <si>
    <t xml:space="preserve">ABM: Microstrategy (viene del Ticket SR1342756)</t>
  </si>
  <si>
    <t xml:space="preserve">SR1350218</t>
  </si>
  <si>
    <t xml:space="preserve">SR1350316</t>
  </si>
  <si>
    <t xml:space="preserve">Permisos Control Total en carpeta de BI</t>
  </si>
  <si>
    <t xml:space="preserve">SR1350639</t>
  </si>
  <si>
    <t xml:space="preserve">Restablecer usuario Yorlenis Roa en Microstrategy</t>
  </si>
  <si>
    <t xml:space="preserve">SR1351017</t>
  </si>
  <si>
    <t xml:space="preserve">Acceso a Microestrategi</t>
  </si>
  <si>
    <t xml:space="preserve">ETORRESD@DIRECTVPR.COM</t>
  </si>
  <si>
    <t xml:space="preserve">SR1351256</t>
  </si>
  <si>
    <t xml:space="preserve">SR1351366</t>
  </si>
  <si>
    <t xml:space="preserve">ALTA EN Microestrategy</t>
  </si>
  <si>
    <t xml:space="preserve">MGODNJAVEC@DIRECTVLA.COM.UY</t>
  </si>
  <si>
    <t xml:space="preserve">SR1351483</t>
  </si>
  <si>
    <t xml:space="preserve">RE: Modificacion de usuarios Adalberto Tapia-Sergio Reales en Microstrategy</t>
  </si>
  <si>
    <t xml:space="preserve">SR1351558</t>
  </si>
  <si>
    <t xml:space="preserve">Acceso Microstrategy</t>
  </si>
  <si>
    <t xml:space="preserve">PGUEDES@DIRECTVLA.COM.VE</t>
  </si>
  <si>
    <t xml:space="preserve">SR1351792</t>
  </si>
  <si>
    <t xml:space="preserve">SR1352173</t>
  </si>
  <si>
    <t xml:space="preserve">RV: Restablecer usuarios Nataly Mosquera-Andres Ruiz en Microstrategy</t>
  </si>
  <si>
    <t xml:space="preserve">SR1352838</t>
  </si>
  <si>
    <t xml:space="preserve">Cambio base de datos Microstrategy</t>
  </si>
  <si>
    <t xml:space="preserve">SR1352993</t>
  </si>
  <si>
    <t xml:space="preserve">configurar base de datos</t>
  </si>
  <si>
    <t xml:space="preserve">SR1353153</t>
  </si>
  <si>
    <t xml:space="preserve">RE: Solicitud permisos Microstrategy</t>
  </si>
  <si>
    <t xml:space="preserve">HOLAPO@DIRECTVLA.COM.CO</t>
  </si>
  <si>
    <t xml:space="preserve">SR1353504</t>
  </si>
  <si>
    <t xml:space="preserve">SR1354120</t>
  </si>
  <si>
    <t xml:space="preserve">Restablecer usuario Fernanda Rojas en Microstrategy</t>
  </si>
  <si>
    <t xml:space="preserve">SR1354124</t>
  </si>
  <si>
    <t xml:space="preserve">RE: Reactivar cuenta de usuario Microstrategy</t>
  </si>
  <si>
    <t xml:space="preserve">YORTIZ@DIRECTV.PE</t>
  </si>
  <si>
    <t xml:space="preserve">SR1354631</t>
  </si>
  <si>
    <t xml:space="preserve">PErfiles de MIcroestrategy</t>
  </si>
  <si>
    <t xml:space="preserve">OLOPEZC@DIRECTV.CL</t>
  </si>
  <si>
    <t xml:space="preserve">SR1355214</t>
  </si>
  <si>
    <t xml:space="preserve">permiso (05.11 - Web Professional).</t>
  </si>
  <si>
    <t xml:space="preserve">SR1356398</t>
  </si>
  <si>
    <t xml:space="preserve">Baja usuario Isabel Cristina Erazo Gonzalez en Microstrategy</t>
  </si>
  <si>
    <t xml:space="preserve">SR1356877</t>
  </si>
  <si>
    <t xml:space="preserve">SR1356952</t>
  </si>
  <si>
    <t xml:space="preserve">REPORTES AUTOMATICOS BASE SIN FORWARD 30 MES ANTERIOR, BASE SIN FORWARD 7 Y 30, CONTACTOS WIMT - WO REPORTE</t>
  </si>
  <si>
    <t xml:space="preserve">DGCABRERA@DIRECTV.COM.EC</t>
  </si>
  <si>
    <t xml:space="preserve">SR1357509</t>
  </si>
  <si>
    <t xml:space="preserve">Alta en Microstrategy</t>
  </si>
  <si>
    <t xml:space="preserve">SR1357562</t>
  </si>
  <si>
    <t xml:space="preserve">Datos Churn 60 Prepago en Microstartegy</t>
  </si>
  <si>
    <t xml:space="preserve">FPANTOJA@DIRECTV.CL</t>
  </si>
  <si>
    <t xml:space="preserve">SR1357902</t>
  </si>
  <si>
    <t xml:space="preserve">SR1357935</t>
  </si>
  <si>
    <t xml:space="preserve">SR1358915</t>
  </si>
  <si>
    <t xml:space="preserve">ALTA MICROSTRATERY</t>
  </si>
  <si>
    <t xml:space="preserve">AVISCA@DIRECTVLA.COM.UY</t>
  </si>
  <si>
    <t xml:space="preserve">SR1359266</t>
  </si>
  <si>
    <t xml:space="preserve">SR a LATAM-SD-BI-MSTR solicitando la baja de las suscipciones del usuario floosli@directv.cl</t>
  </si>
  <si>
    <t xml:space="preserve">SR1359305</t>
  </si>
  <si>
    <t xml:space="preserve">-Verificacion cuenta user mosorio en Micristrategy</t>
  </si>
  <si>
    <t xml:space="preserve">SR1359618</t>
  </si>
  <si>
    <t xml:space="preserve">RE: Aviso de Inactividad de Usuario</t>
  </si>
  <si>
    <t xml:space="preserve">JUAMIRA@DIRECTVLA.COM.CO</t>
  </si>
  <si>
    <t xml:space="preserve">SR1360121</t>
  </si>
  <si>
    <t xml:space="preserve">Mapeo de un atributo en MicroStrategy</t>
  </si>
  <si>
    <t xml:space="preserve">SR1361442</t>
  </si>
  <si>
    <t xml:space="preserve">Validar acceso a MICROSTRATEGY(SR1334518)</t>
  </si>
  <si>
    <t xml:space="preserve">ABLUGO@DIRECTVLA.COM.VE</t>
  </si>
  <si>
    <t xml:space="preserve">SR1361923</t>
  </si>
  <si>
    <t xml:space="preserve">verificacion de usuario</t>
  </si>
  <si>
    <t xml:space="preserve">FCUNESE@DIRECTVLA.COM.AR</t>
  </si>
  <si>
    <t xml:space="preserve">FKLINK@DIRECTVLA.COM.AR</t>
  </si>
  <si>
    <t xml:space="preserve">SR1363861</t>
  </si>
  <si>
    <t xml:space="preserve">alta microstrategy</t>
  </si>
  <si>
    <t xml:space="preserve">SR1364184</t>
  </si>
  <si>
    <t xml:space="preserve">Mapeo Usuario calculado en Field Services</t>
  </si>
  <si>
    <t xml:space="preserve">SR1364998</t>
  </si>
  <si>
    <t xml:space="preserve">RE: RESUELTO – La solicitud de servicio SR1322468 fue completada.</t>
  </si>
  <si>
    <t xml:space="preserve">BETROD@DIRECTVLA.COM.CO</t>
  </si>
  <si>
    <t xml:space="preserve">SR1365649</t>
  </si>
  <si>
    <t xml:space="preserve">SR1365685</t>
  </si>
  <si>
    <t xml:space="preserve">Microstrategy: Deshabilitar usuarios</t>
  </si>
  <si>
    <t xml:space="preserve">SR1367097</t>
  </si>
  <si>
    <t xml:space="preserve">Rehabilitación user Microstrategy</t>
  </si>
  <si>
    <t xml:space="preserve">NGUIMARA@DIRECTVLA.COM.AR</t>
  </si>
  <si>
    <t xml:space="preserve">SR1367302</t>
  </si>
  <si>
    <t xml:space="preserve">JUCHACON@DIRECTVLA.COM.VE</t>
  </si>
  <si>
    <t xml:space="preserve">SR1367361</t>
  </si>
  <si>
    <t xml:space="preserve">Conectividad 172.22.4.171 y smtp.dtvla.com</t>
  </si>
  <si>
    <t xml:space="preserve">SR1368285</t>
  </si>
  <si>
    <t xml:space="preserve">Blanqueo de Pass de acceso a Microstrategy</t>
  </si>
  <si>
    <t xml:space="preserve">ADRAND@DIRECTVLA.COM.CO</t>
  </si>
  <si>
    <t xml:space="preserve">SR1368476</t>
  </si>
  <si>
    <t xml:space="preserve">SR1368479</t>
  </si>
  <si>
    <t xml:space="preserve">Incidencia con Microstrategy</t>
  </si>
  <si>
    <t xml:space="preserve">ABELIZARIO@DIRECTVLA.COM.VE</t>
  </si>
  <si>
    <t xml:space="preserve">SR1368747</t>
  </si>
  <si>
    <t xml:space="preserve">Activar Usuarios Supervisores en MicroStrategy</t>
  </si>
  <si>
    <t xml:space="preserve">SR1368781</t>
  </si>
  <si>
    <t xml:space="preserve">Solicitud de acceso a Microstrategy</t>
  </si>
  <si>
    <t xml:space="preserve">FGUIULFO@DIRECTV.PE</t>
  </si>
  <si>
    <t xml:space="preserve">SR1369499</t>
  </si>
  <si>
    <t xml:space="preserve">Mapeo Fecha Contacto Agenda - Modelo Field Services</t>
  </si>
  <si>
    <t xml:space="preserve">SR1370401</t>
  </si>
  <si>
    <t xml:space="preserve">Rehabilitar usuario Microstrategy</t>
  </si>
  <si>
    <t xml:space="preserve">ALONG@DIRECTVLA.COM.AR</t>
  </si>
  <si>
    <t xml:space="preserve">SR1371060</t>
  </si>
  <si>
    <t xml:space="preserve">ABM: Microstrategy (supervisores)</t>
  </si>
  <si>
    <t xml:space="preserve">SR1371125</t>
  </si>
  <si>
    <t xml:space="preserve">Modificar atributos VDN y VDN Siguiente en Micro</t>
  </si>
  <si>
    <t xml:space="preserve">SR1371861</t>
  </si>
  <si>
    <t xml:space="preserve">BM Microstrategy</t>
  </si>
  <si>
    <t xml:space="preserve">MJACOB1@DIRECTVLA.COM.AR</t>
  </si>
  <si>
    <t xml:space="preserve">SR1372141</t>
  </si>
  <si>
    <t xml:space="preserve">Error en MicroStrategy</t>
  </si>
  <si>
    <t xml:space="preserve">RCHIRINOS@DIRECTVLA.COM.VE</t>
  </si>
  <si>
    <t xml:space="preserve">SR1373193</t>
  </si>
  <si>
    <t xml:space="preserve">Error Micro  Commercial Reporte de ajustes</t>
  </si>
  <si>
    <t xml:space="preserve">CCASTILLOSA@DIRECTV.CL</t>
  </si>
  <si>
    <t xml:space="preserve">SR1373196</t>
  </si>
  <si>
    <t xml:space="preserve">Ajustes MS - ENGAGE regional</t>
  </si>
  <si>
    <t xml:space="preserve">SR1373199</t>
  </si>
  <si>
    <t xml:space="preserve">Restablecer usuario Jeynson Hernandez Bastidas en Microstrategy</t>
  </si>
  <si>
    <t xml:space="preserve">SR1373250</t>
  </si>
  <si>
    <t xml:space="preserve">RE: Recuperación de Acceso a Microstrategy</t>
  </si>
  <si>
    <t xml:space="preserve">JEYHER@DIRECTVLA.COM.CO</t>
  </si>
  <si>
    <t xml:space="preserve">SR1373788</t>
  </si>
  <si>
    <t xml:space="preserve">RV: Alta en Microstrategy</t>
  </si>
  <si>
    <t xml:space="preserve">FXVELASCO@DIRECTV.COM.EC</t>
  </si>
  <si>
    <t xml:space="preserve">SR1374418</t>
  </si>
  <si>
    <t xml:space="preserve">Consulta sobre Alta de Usuario MicroStrategy</t>
  </si>
  <si>
    <t xml:space="preserve">CARLOS.AVENDANO@DIRECTVTLC.COM</t>
  </si>
  <si>
    <t xml:space="preserve">SR1375199</t>
  </si>
  <si>
    <t xml:space="preserve">Modificacion usuario Micro</t>
  </si>
  <si>
    <t xml:space="preserve">RBARILLARO@DIRECTVLA.COM.AR</t>
  </si>
  <si>
    <t xml:space="preserve">SR1375900</t>
  </si>
  <si>
    <t xml:space="preserve">RE: LH01 CO | Pruebas de Cierre (BI)</t>
  </si>
  <si>
    <t xml:space="preserve">JUABOL@DIRECTVLA.COM.CO</t>
  </si>
  <si>
    <t xml:space="preserve">SR1376422</t>
  </si>
  <si>
    <t xml:space="preserve">Acceso Microstrategy Auditoes AT&amp;T</t>
  </si>
  <si>
    <t xml:space="preserve">JESTEVE@DIRECTVLA.COM.AR</t>
  </si>
  <si>
    <t xml:space="preserve">SR1376740</t>
  </si>
  <si>
    <t xml:space="preserve">MICROSTRATEGY No puede acceder por error de User y Pass</t>
  </si>
  <si>
    <t xml:space="preserve">ALEOSP@DIRECTVLA.COM.CO</t>
  </si>
  <si>
    <t xml:space="preserve">SR1376850</t>
  </si>
  <si>
    <t xml:space="preserve">acceso a microestrategy</t>
  </si>
  <si>
    <t xml:space="preserve">NMANRIQU@DIRECTVLA.COM.AR</t>
  </si>
  <si>
    <t xml:space="preserve">SR1377742</t>
  </si>
  <si>
    <t xml:space="preserve">PPM 30682 Proyecto LHR01 - Requerimientos IP Callback / matriz de mapeo</t>
  </si>
  <si>
    <t xml:space="preserve">ACOLUCCI@DIRECTVLA.COM.AR</t>
  </si>
  <si>
    <t xml:space="preserve">SR1378458</t>
  </si>
  <si>
    <t xml:space="preserve">Solicitud de Clave y Usuario</t>
  </si>
  <si>
    <t xml:space="preserve">MDORAZIO@DIRECTVLA.COM.VE</t>
  </si>
  <si>
    <t xml:space="preserve">SR1378511</t>
  </si>
  <si>
    <t xml:space="preserve">Alta de Mirco</t>
  </si>
  <si>
    <t xml:space="preserve">SR1379127</t>
  </si>
  <si>
    <t xml:space="preserve">Modificaicon Microestraegy</t>
  </si>
  <si>
    <t xml:space="preserve">CBOSCH@DIRECTVLA.COM.AR</t>
  </si>
  <si>
    <t xml:space="preserve">SR1379773</t>
  </si>
  <si>
    <t xml:space="preserve">Restablecer usuario Lina Catherin Sierra Forero en Microstrategy</t>
  </si>
  <si>
    <t xml:space="preserve">SR1380393</t>
  </si>
  <si>
    <t xml:space="preserve">Acceso a la Herramienta MicroStrategy</t>
  </si>
  <si>
    <t xml:space="preserve">SSUAREZ@DIRECTVLA.COM.VE</t>
  </si>
  <si>
    <t xml:space="preserve">SR1380420</t>
  </si>
  <si>
    <t xml:space="preserve">DIAGOMM@DIRECTVLA.COM.CO</t>
  </si>
  <si>
    <t xml:space="preserve">SR1382918</t>
  </si>
  <si>
    <t xml:space="preserve">SR1383035</t>
  </si>
  <si>
    <t xml:space="preserve">Publicar Documentación</t>
  </si>
  <si>
    <t xml:space="preserve">SR1383062</t>
  </si>
  <si>
    <t xml:space="preserve">Rehabilitación Microstrategy</t>
  </si>
  <si>
    <t xml:space="preserve">FANIDO@DIRECTVLA.COM.AR</t>
  </si>
  <si>
    <t xml:space="preserve">SR1383462</t>
  </si>
  <si>
    <t xml:space="preserve">SR1384569</t>
  </si>
  <si>
    <t xml:space="preserve">SR1384593</t>
  </si>
  <si>
    <t xml:space="preserve">Solicitud Migración de Cuenta Microstrategy por Cambio de Dominio en Email de TLC a LA.COM.CO</t>
  </si>
  <si>
    <t xml:space="preserve">LSUAREZ1@DIRECTVLA.COM.CO</t>
  </si>
  <si>
    <t xml:space="preserve">SR1385400</t>
  </si>
  <si>
    <t xml:space="preserve">SR1385492</t>
  </si>
  <si>
    <t xml:space="preserve">Mapeo fecha para F_MDTV_LOGRECORDTODVR_RBWS</t>
  </si>
  <si>
    <t xml:space="preserve">SR1386328</t>
  </si>
  <si>
    <t xml:space="preserve">SOLICTUD DE FORMATO PARA REQUERIR LA AUTORIZACIÓN PARA UN NUEVO USUARIO MICROSTRATEGI</t>
  </si>
  <si>
    <t xml:space="preserve">FARANA@DIRECTVLA.COM.VE</t>
  </si>
  <si>
    <t xml:space="preserve">SR1386654</t>
  </si>
  <si>
    <t xml:space="preserve">Alta microestrategy</t>
  </si>
  <si>
    <t xml:space="preserve">MHERNANDEZ2@DIRECTVLA.COM.VE</t>
  </si>
  <si>
    <t xml:space="preserve">SR1386697</t>
  </si>
  <si>
    <t xml:space="preserve">Acceso Microstrategy Johanna Acosta</t>
  </si>
  <si>
    <t xml:space="preserve">JOHACO@DIRECTVLA.COM.CO</t>
  </si>
  <si>
    <t xml:space="preserve">SR1386840</t>
  </si>
  <si>
    <t xml:space="preserve">Alta MicroStrategy</t>
  </si>
  <si>
    <t xml:space="preserve">SGUTIERREZ@DIRECTVLA.COM.AR</t>
  </si>
  <si>
    <t xml:space="preserve">SR1386955</t>
  </si>
  <si>
    <t xml:space="preserve">MODIFICAR CONEXIÓN ESALES UY Benedict Baumann</t>
  </si>
  <si>
    <t xml:space="preserve">SR1387625</t>
  </si>
  <si>
    <t xml:space="preserve">HUGO.GARZON@ALLUS.COM.CO</t>
  </si>
  <si>
    <t xml:space="preserve">SR1387638</t>
  </si>
  <si>
    <t xml:space="preserve">SR1388503</t>
  </si>
  <si>
    <t xml:space="preserve">Revisión de permisos de Microstrategy</t>
  </si>
  <si>
    <t xml:space="preserve">RSALAS1@DIRECTVLA.COM.AR</t>
  </si>
  <si>
    <t xml:space="preserve">SR1388967</t>
  </si>
  <si>
    <t xml:space="preserve">RE: sin ingreso a Micro</t>
  </si>
  <si>
    <t xml:space="preserve">SR1389267</t>
  </si>
  <si>
    <t xml:space="preserve">Supervisores sin uso MICRO</t>
  </si>
  <si>
    <t xml:space="preserve">SR1389273</t>
  </si>
  <si>
    <t xml:space="preserve">Restablecer usuario Hugo Armando Fonseca en MicroStrategy</t>
  </si>
  <si>
    <t xml:space="preserve">SR1390301</t>
  </si>
  <si>
    <t xml:space="preserve">RV: Autorización Usuario Microstrategy</t>
  </si>
  <si>
    <t xml:space="preserve">NVALENZUES@DIRECTV.CL</t>
  </si>
  <si>
    <t xml:space="preserve">SR1390627</t>
  </si>
  <si>
    <t xml:space="preserve">Cifras de Churn D-1 Microstrategy en cero</t>
  </si>
  <si>
    <t xml:space="preserve">LGUTIERREZ@DIRECTVLA.COM.VE</t>
  </si>
  <si>
    <t xml:space="preserve">SR1391052</t>
  </si>
  <si>
    <t xml:space="preserve">Mapeos BI</t>
  </si>
  <si>
    <t xml:space="preserve">SR1391720</t>
  </si>
  <si>
    <t xml:space="preserve">Revisar Ticket SR1385032</t>
  </si>
  <si>
    <t xml:space="preserve">SR1392194</t>
  </si>
  <si>
    <t xml:space="preserve">Restablecer usuario Manuel Alejandro Puerto Ortiz en MicroStrategy</t>
  </si>
  <si>
    <t xml:space="preserve">SR1392195</t>
  </si>
  <si>
    <t xml:space="preserve">Restablecer usuario Ileana Trapes en MicroStrategy</t>
  </si>
  <si>
    <t xml:space="preserve">SR1392553</t>
  </si>
  <si>
    <t xml:space="preserve">RE: Mapeo fecha para F_MDTV_LOGRECORDTODVR_RBWS</t>
  </si>
  <si>
    <t xml:space="preserve">SR1392832</t>
  </si>
  <si>
    <t xml:space="preserve">Usuario de MicroStrategy</t>
  </si>
  <si>
    <t xml:space="preserve">DOSUNA@DIRECTVLA.COM.AR</t>
  </si>
  <si>
    <t xml:space="preserve">SR1394127</t>
  </si>
  <si>
    <t xml:space="preserve">modificacion de usuarios micro</t>
  </si>
  <si>
    <t xml:space="preserve">MCARDOZO@DIRECTVLA.COM.AR</t>
  </si>
  <si>
    <t xml:space="preserve">SR1394994</t>
  </si>
  <si>
    <t xml:space="preserve">SR1395329</t>
  </si>
  <si>
    <t xml:space="preserve">DPAZ@DIRECTVLA.COM.AR</t>
  </si>
  <si>
    <t xml:space="preserve">SR1396946</t>
  </si>
  <si>
    <t xml:space="preserve">MICROSTRATEGY  - Alta de usuario</t>
  </si>
  <si>
    <t xml:space="preserve">YENSAN@DIRECTVLA.COM.CO</t>
  </si>
  <si>
    <t xml:space="preserve">SR1399551</t>
  </si>
  <si>
    <t xml:space="preserve">Baja usuario Giselle Sanchez Ariza en Microstrategy</t>
  </si>
  <si>
    <t xml:space="preserve">SR1399954</t>
  </si>
  <si>
    <t xml:space="preserve">SR1400378</t>
  </si>
  <si>
    <t xml:space="preserve">SR1400818</t>
  </si>
  <si>
    <t xml:space="preserve">Usuarios Pruebas Micro Migracion LH01</t>
  </si>
  <si>
    <t xml:space="preserve">ANAAVI@DIRECTVLA.COM.CO</t>
  </si>
  <si>
    <t xml:space="preserve">SR1401097</t>
  </si>
  <si>
    <t xml:space="preserve">SR 1401097 Formulario alta usuario MIcrostrategy</t>
  </si>
  <si>
    <t xml:space="preserve">MOTERO@DIRECTVLA.COM.AR</t>
  </si>
  <si>
    <t xml:space="preserve">SR1401171</t>
  </si>
  <si>
    <t xml:space="preserve">SR1401194</t>
  </si>
  <si>
    <t xml:space="preserve">Restablecer usuario Idangela Mendez Cubides en MicroStrategy</t>
  </si>
  <si>
    <t xml:space="preserve">SR1402686</t>
  </si>
  <si>
    <t xml:space="preserve">Publicar Documentación MSTR</t>
  </si>
  <si>
    <t xml:space="preserve">SR1402901</t>
  </si>
  <si>
    <t xml:space="preserve">B.I _ Usuario : jalvarado</t>
  </si>
  <si>
    <t xml:space="preserve">JALVARADO@DIRECTV.PE</t>
  </si>
  <si>
    <t xml:space="preserve">SR1403637</t>
  </si>
  <si>
    <t xml:space="preserve">Modificacion usuario Nancy Fredes en Microstrategy</t>
  </si>
  <si>
    <t xml:space="preserve">SR1404051</t>
  </si>
  <si>
    <t xml:space="preserve">SR1404546</t>
  </si>
  <si>
    <t xml:space="preserve">Acceso Microstrategy VICROJ.</t>
  </si>
  <si>
    <t xml:space="preserve">VICROJ@DIRECTVLA.COM.CO</t>
  </si>
  <si>
    <t xml:space="preserve">SR1404784</t>
  </si>
  <si>
    <t xml:space="preserve">Reactivar Usuario en MicroStrategy PVilla@directvla.com.ar</t>
  </si>
  <si>
    <t xml:space="preserve">SR1407417</t>
  </si>
  <si>
    <t xml:space="preserve">SR1407671</t>
  </si>
  <si>
    <t xml:space="preserve">Verificar cuentas en Microstrategy</t>
  </si>
  <si>
    <t xml:space="preserve">BGALLINI@DIRECTVLA.COM.AR</t>
  </si>
  <si>
    <t xml:space="preserve">SR1408010</t>
  </si>
  <si>
    <t xml:space="preserve">JCASTIELLA@DIRECTVLA.COM.UY</t>
  </si>
  <si>
    <t xml:space="preserve">SR1409080</t>
  </si>
  <si>
    <t xml:space="preserve">Modificacion usuario Juleyvis Gonzalez en Microstrategy</t>
  </si>
  <si>
    <t xml:space="preserve">SR1409326</t>
  </si>
  <si>
    <t xml:space="preserve">MICROSTRATEGY - Modificar Perfil (SR1408622)</t>
  </si>
  <si>
    <t xml:space="preserve">FFERREIRO@DIRECTVLA.COM.AR</t>
  </si>
  <si>
    <t xml:space="preserve">SR1409821</t>
  </si>
  <si>
    <t xml:space="preserve">Reactivar Usuario SPereyr2@directvla.com.ar en MicroStrategy</t>
  </si>
  <si>
    <t xml:space="preserve">SR1409822</t>
  </si>
  <si>
    <t xml:space="preserve">QUITAR PERMISOS DE USUARIOS EN MICROSTRATEGY</t>
  </si>
  <si>
    <t xml:space="preserve">SR1409851</t>
  </si>
  <si>
    <t xml:space="preserve">SARANCIB@DIRECTVLA.COM.AR</t>
  </si>
  <si>
    <t xml:space="preserve">SR1410889</t>
  </si>
  <si>
    <t xml:space="preserve">Problemas con Microstrategy Churn 60</t>
  </si>
  <si>
    <t xml:space="preserve">CORTEGAN@DIRECTV.CL</t>
  </si>
  <si>
    <t xml:space="preserve">SR1411210</t>
  </si>
  <si>
    <t xml:space="preserve">Consulta MicroStrategy</t>
  </si>
  <si>
    <t xml:space="preserve">CPIZA@DIRECTV.PE</t>
  </si>
  <si>
    <t xml:space="preserve">SR1411240</t>
  </si>
  <si>
    <t xml:space="preserve">RV: Accesos a Microestrategy</t>
  </si>
  <si>
    <t xml:space="preserve">JGONZALES@DIRECTVLA.COM.CO</t>
  </si>
  <si>
    <t xml:space="preserve">SBRITOS@DIRECTVLA.COM.AR</t>
  </si>
  <si>
    <t xml:space="preserve">SR1412347</t>
  </si>
  <si>
    <t xml:space="preserve">RE: sin ingreso a micro  [External] INFORMACION ADICIONAL - Incidente IN935041</t>
  </si>
  <si>
    <t xml:space="preserve">SR1414005</t>
  </si>
  <si>
    <t xml:space="preserve">Solicitud Usuario Microestrategy</t>
  </si>
  <si>
    <t xml:space="preserve">INGMIR@DIRECTVLA.COM.CO</t>
  </si>
  <si>
    <t xml:space="preserve">SR1414841</t>
  </si>
  <si>
    <t xml:space="preserve">Creación Usuario en MicroStrategy</t>
  </si>
  <si>
    <t xml:space="preserve">SR1416829</t>
  </si>
  <si>
    <t xml:space="preserve">Solicitud Modificación Accesos Microstrategy</t>
  </si>
  <si>
    <t xml:space="preserve">MPJIMENEZ@DIRECTV.PE</t>
  </si>
  <si>
    <t xml:space="preserve">SR1417388</t>
  </si>
  <si>
    <t xml:space="preserve">VAlidar usuario Microstrategy</t>
  </si>
  <si>
    <t xml:space="preserve">FERMAT@DIRECTVLA.COM.CO</t>
  </si>
  <si>
    <t xml:space="preserve">SR1418251</t>
  </si>
  <si>
    <t xml:space="preserve">Upselling &amp; Migración Prepago a Pospago (#30730) / Matriz  de mapeo</t>
  </si>
  <si>
    <t xml:space="preserve">SR1419786</t>
  </si>
  <si>
    <t xml:space="preserve">Autorización Carpeta Microstrategy</t>
  </si>
  <si>
    <t xml:space="preserve">KARANDA@DIRECTVLA.COM.AR</t>
  </si>
  <si>
    <t xml:space="preserve">SR1419837</t>
  </si>
  <si>
    <t xml:space="preserve">SR1419842</t>
  </si>
  <si>
    <t xml:space="preserve">SR1420290</t>
  </si>
  <si>
    <t xml:space="preserve">RV: Usuarios con +1 Comunidad</t>
  </si>
  <si>
    <t xml:space="preserve">SR1420440</t>
  </si>
  <si>
    <t xml:space="preserve">EDCORTES@DIRECTVLA.COM.CO</t>
  </si>
  <si>
    <t xml:space="preserve">SR1420838</t>
  </si>
  <si>
    <t xml:space="preserve">SR1420844</t>
  </si>
  <si>
    <t xml:space="preserve">Reset usuario Microstrategy</t>
  </si>
  <si>
    <t xml:space="preserve">LRIVERAN@DIRECTVPR.COM</t>
  </si>
  <si>
    <t xml:space="preserve">SR1421048</t>
  </si>
  <si>
    <t xml:space="preserve">Modififacion usuario Gonzalo William en Microstrategy</t>
  </si>
  <si>
    <t xml:space="preserve">SR1421551</t>
  </si>
  <si>
    <t xml:space="preserve">AGREGAR PERMISO DE USUARIO EN MICROSTRATEGY</t>
  </si>
  <si>
    <t xml:space="preserve">SR1421658</t>
  </si>
  <si>
    <t xml:space="preserve">Solicitud Adicionar Accesos de Micro strategy</t>
  </si>
  <si>
    <t xml:space="preserve">JARELLANOG@DIRECTV.CL</t>
  </si>
  <si>
    <t xml:space="preserve">SR1421769</t>
  </si>
  <si>
    <t xml:space="preserve">Modififacion usuario Maria del Pilar Jimenez en Microstrategy</t>
  </si>
  <si>
    <t xml:space="preserve">SR1421868</t>
  </si>
  <si>
    <t xml:space="preserve">SR1423801</t>
  </si>
  <si>
    <t xml:space="preserve">Restablecer usuario Adrian Scardillo en Microstrategy</t>
  </si>
  <si>
    <t xml:space="preserve">SR1423864</t>
  </si>
  <si>
    <t xml:space="preserve">SR1424482</t>
  </si>
  <si>
    <t xml:space="preserve">Acceso a carpeta en microstrategy</t>
  </si>
  <si>
    <t xml:space="preserve">SR1424629</t>
  </si>
  <si>
    <t xml:space="preserve">Modificacion usuario Pablo Jesús Arias Almeida en Microstrategy</t>
  </si>
  <si>
    <t xml:space="preserve">SR1424898</t>
  </si>
  <si>
    <t xml:space="preserve">Restablecer usuario Juan Rodriguez en MicroStrategy</t>
  </si>
  <si>
    <t xml:space="preserve">SR1425152</t>
  </si>
  <si>
    <t xml:space="preserve">Modificacion usuario Marlyn Sol Gonzalez en Microstrategy</t>
  </si>
  <si>
    <t xml:space="preserve">SR1425513</t>
  </si>
  <si>
    <t xml:space="preserve">Create a BI user for Rianne George</t>
  </si>
  <si>
    <t xml:space="preserve">VBENIMADHO@DIRECTVTT.COM</t>
  </si>
  <si>
    <t xml:space="preserve">SR1425744</t>
  </si>
  <si>
    <t xml:space="preserve">SNASERE@DIRECTV.CL</t>
  </si>
  <si>
    <t xml:space="preserve">SR1425986</t>
  </si>
  <si>
    <t xml:space="preserve">Solicitud de reportes de BI panamericana</t>
  </si>
  <si>
    <t xml:space="preserve">JCONTRERASR@DIRECTV.CL</t>
  </si>
  <si>
    <t xml:space="preserve">SR1426103</t>
  </si>
  <si>
    <t xml:space="preserve">SR1426478</t>
  </si>
  <si>
    <t xml:space="preserve">Alta usuario Microstrategy</t>
  </si>
  <si>
    <t xml:space="preserve">BPEREZ1@DIRECTVLA.COM.AR</t>
  </si>
  <si>
    <t xml:space="preserve">SR1428612</t>
  </si>
  <si>
    <t xml:space="preserve">SR1429277</t>
  </si>
  <si>
    <t xml:space="preserve">Rehabilitar usuario en Microstrategy</t>
  </si>
  <si>
    <t xml:space="preserve">MCAMIGLI@DIRECTVLA.COM.AR</t>
  </si>
  <si>
    <t xml:space="preserve">SR1429301</t>
  </si>
  <si>
    <t xml:space="preserve">SR1429411</t>
  </si>
  <si>
    <t xml:space="preserve">OBSERVACION REPORTE Clientes_HD SinLNBw_Detalle suscripcion</t>
  </si>
  <si>
    <t xml:space="preserve">SR1432252</t>
  </si>
  <si>
    <t xml:space="preserve">No accede a microstrategy proviene del IN935041</t>
  </si>
  <si>
    <t xml:space="preserve">SR1432255</t>
  </si>
  <si>
    <t xml:space="preserve">RE: formulario</t>
  </si>
  <si>
    <t xml:space="preserve">DAVPIN@DIRECTVLA.COM.CO</t>
  </si>
  <si>
    <t xml:space="preserve">SR1432726</t>
  </si>
  <si>
    <t xml:space="preserve">LGOTELLI@DIRECTVLA.COM.AR</t>
  </si>
  <si>
    <t xml:space="preserve">SR1432766</t>
  </si>
  <si>
    <t xml:space="preserve">Microstrategy Caribbean YTD Subscriber Dashboard - modify scale</t>
  </si>
  <si>
    <t xml:space="preserve">LCARRAUD@DIRECTVLA.COM.AR</t>
  </si>
  <si>
    <t xml:space="preserve">SR1433228</t>
  </si>
  <si>
    <t xml:space="preserve">RV: Activaciones Prepago WEB</t>
  </si>
  <si>
    <t xml:space="preserve">ESCADENA@DIRECTV.COM.EC</t>
  </si>
  <si>
    <t xml:space="preserve">SR1433707</t>
  </si>
  <si>
    <t xml:space="preserve">Pasar desarrolloo a UAT</t>
  </si>
  <si>
    <t xml:space="preserve">SR1435353</t>
  </si>
  <si>
    <t xml:space="preserve">Métrica de Adherencia</t>
  </si>
  <si>
    <t xml:space="preserve">SR1435409</t>
  </si>
  <si>
    <t xml:space="preserve">RABARRAL@DIRECTV.CL</t>
  </si>
  <si>
    <t xml:space="preserve">SR1435415</t>
  </si>
  <si>
    <t xml:space="preserve">SR1435552</t>
  </si>
  <si>
    <t xml:space="preserve">Deshabilitar Usuarios Microstrategy</t>
  </si>
  <si>
    <t xml:space="preserve">SR1435819</t>
  </si>
  <si>
    <t xml:space="preserve">Habilitar usuarios para Microestrategy</t>
  </si>
  <si>
    <t xml:space="preserve">IZMUDA@DIRECTVLA.COM.AR</t>
  </si>
  <si>
    <t xml:space="preserve">SR1435844</t>
  </si>
  <si>
    <t xml:space="preserve">Jerarquias de SKILL</t>
  </si>
  <si>
    <t xml:space="preserve">SR1436673</t>
  </si>
  <si>
    <t xml:space="preserve">Usuario sin acceder a Micro</t>
  </si>
  <si>
    <t xml:space="preserve">FJARAMILLOB@DIRECTV.CL</t>
  </si>
  <si>
    <t xml:space="preserve">SR1438238</t>
  </si>
  <si>
    <t xml:space="preserve">Microstrategy - Rehabilitación de usuario</t>
  </si>
  <si>
    <t xml:space="preserve">MRATENB@DIRECTVLA.COM.AR</t>
  </si>
  <si>
    <t xml:space="preserve">SR1438933</t>
  </si>
  <si>
    <t xml:space="preserve">FMOUZO@DIRECTVLA.COM.AR</t>
  </si>
  <si>
    <t xml:space="preserve">SR1440290</t>
  </si>
  <si>
    <t xml:space="preserve">Acceso MicroStrategy CHILE Auditores AT&amp;T</t>
  </si>
  <si>
    <t xml:space="preserve">SR1440320</t>
  </si>
  <si>
    <t xml:space="preserve">DREVETRI@DIRECTVLA.COM.AR</t>
  </si>
  <si>
    <t xml:space="preserve">SR1440835</t>
  </si>
  <si>
    <t xml:space="preserve">Acceso Microestrategy</t>
  </si>
  <si>
    <t xml:space="preserve">NSCABO@DIRECTVLA.COM.AR</t>
  </si>
  <si>
    <t xml:space="preserve">SR1440908</t>
  </si>
  <si>
    <t xml:space="preserve">generar un usuario generico para pruebas en UAT</t>
  </si>
  <si>
    <t xml:space="preserve">MSALGUEIRO@DIRECTVLA.COM.AR</t>
  </si>
  <si>
    <t xml:space="preserve">SR1441221</t>
  </si>
  <si>
    <t xml:space="preserve">Restablecer usuario Roberto Naquiche en MicroStrategy</t>
  </si>
  <si>
    <t xml:space="preserve">SR1441746</t>
  </si>
  <si>
    <t xml:space="preserve">Activar Usuario de Microstrategy</t>
  </si>
  <si>
    <t xml:space="preserve">SR1443300</t>
  </si>
  <si>
    <t xml:space="preserve">RE: Acceso Microstrategy VICROJ. - SR1404546</t>
  </si>
  <si>
    <t xml:space="preserve">SR1443331</t>
  </si>
  <si>
    <t xml:space="preserve">Agrupacion de paises x region</t>
  </si>
  <si>
    <t xml:space="preserve">SR1443866</t>
  </si>
  <si>
    <t xml:space="preserve">Habilitar usuario Microstrategy</t>
  </si>
  <si>
    <t xml:space="preserve">OLGALV@DIRECTVLA.COM.CO</t>
  </si>
  <si>
    <t xml:space="preserve">SR1444181</t>
  </si>
  <si>
    <t xml:space="preserve">Consulta sobre Reporte (MicroStrategy)</t>
  </si>
  <si>
    <t xml:space="preserve">SR1444250</t>
  </si>
  <si>
    <t xml:space="preserve">SR1444384</t>
  </si>
  <si>
    <t xml:space="preserve">Acceso a Developer Desarrollo</t>
  </si>
  <si>
    <t xml:space="preserve">SR1444698</t>
  </si>
  <si>
    <t xml:space="preserve">Proyecto Migracion Pre-Post/ Upsell - Metricas Ventas</t>
  </si>
  <si>
    <t xml:space="preserve">SR1444729</t>
  </si>
  <si>
    <t xml:space="preserve">Aviso de Inactividad de Usuario</t>
  </si>
  <si>
    <t xml:space="preserve">NGUILARTE@DIRECTVLA.COM.VE</t>
  </si>
  <si>
    <t xml:space="preserve">SR1445293</t>
  </si>
  <si>
    <t xml:space="preserve">Habilitacion de Usuario (MicroStrategy)</t>
  </si>
  <si>
    <t xml:space="preserve">DAVILA@DIRECTVLA.COM.AR</t>
  </si>
  <si>
    <t xml:space="preserve">SR1445327</t>
  </si>
  <si>
    <t xml:space="preserve">Acceso a Micro Strategy</t>
  </si>
  <si>
    <t xml:space="preserve">ANORTIZC@DIRECTVPR.COM</t>
  </si>
  <si>
    <t xml:space="preserve">SR1445656</t>
  </si>
  <si>
    <t xml:space="preserve">Revision de perfil Microstrategy</t>
  </si>
  <si>
    <t xml:space="preserve">EPOT@DIRECTVLA.COM.AR</t>
  </si>
  <si>
    <t xml:space="preserve">SR1445657</t>
  </si>
  <si>
    <t xml:space="preserve">Rehabilitacion de usuario Microstrategy</t>
  </si>
  <si>
    <t xml:space="preserve">SR1445961</t>
  </si>
  <si>
    <t xml:space="preserve">Rehabilitacion de User Id de Microstrategy</t>
  </si>
  <si>
    <t xml:space="preserve">CAPARRA@DIRECTVLA.COM.VE</t>
  </si>
  <si>
    <t xml:space="preserve">SR1446056</t>
  </si>
  <si>
    <t xml:space="preserve">Solicitud de Mapeo</t>
  </si>
  <si>
    <t xml:space="preserve">SR1447139</t>
  </si>
  <si>
    <t xml:space="preserve">Usuarios Microstrategy</t>
  </si>
  <si>
    <t xml:space="preserve">OPEREIRA1@DIRECTVLA.COM.VE</t>
  </si>
  <si>
    <t xml:space="preserve">SR1447240</t>
  </si>
  <si>
    <t xml:space="preserve">SR1447342</t>
  </si>
  <si>
    <t xml:space="preserve">mapear nuevo campo en microstrategy</t>
  </si>
  <si>
    <t xml:space="preserve">SR1447979</t>
  </si>
  <si>
    <t xml:space="preserve">Restablecer usuario Andres Felipe Angel Castaño en MicroStrategy</t>
  </si>
  <si>
    <t xml:space="preserve">SR1448266</t>
  </si>
  <si>
    <t xml:space="preserve">SR1448480</t>
  </si>
  <si>
    <t xml:space="preserve">Restablecer usuario Raul Rodriguez Sanchez en MicroStrategy</t>
  </si>
  <si>
    <t xml:space="preserve">SR1448969</t>
  </si>
  <si>
    <t xml:space="preserve">verificiacion de acceso</t>
  </si>
  <si>
    <t xml:space="preserve">SR1449076</t>
  </si>
  <si>
    <t xml:space="preserve">CARRIBIL@DIRECTVLA.COM.AR</t>
  </si>
  <si>
    <t xml:space="preserve">SR1449460</t>
  </si>
  <si>
    <t xml:space="preserve">Modificacion de usuario Diana Carolina Ramirez Bedoya en Microstrategy</t>
  </si>
  <si>
    <t xml:space="preserve">SR1449496</t>
  </si>
  <si>
    <t xml:space="preserve">Clientes Suspendidos EOP Puerto Rico</t>
  </si>
  <si>
    <t xml:space="preserve">LGONZALEZ@DIRECTVPR.COM</t>
  </si>
  <si>
    <t xml:space="preserve">SR1449942</t>
  </si>
  <si>
    <t xml:space="preserve">Modificacion de usuario Johanna María Acosta Botero en Microstrategy</t>
  </si>
  <si>
    <t xml:space="preserve">SR1450547</t>
  </si>
  <si>
    <t xml:space="preserve">SR1450964</t>
  </si>
  <si>
    <t xml:space="preserve">Modificacion de usuario Carina Mariana Bosch en Microstrategy</t>
  </si>
  <si>
    <t xml:space="preserve">SR1453154</t>
  </si>
  <si>
    <t xml:space="preserve">Restablecer usuario Daniel Reffray en MicroStrategy</t>
  </si>
  <si>
    <t xml:space="preserve">SR1453414</t>
  </si>
  <si>
    <t xml:space="preserve">Consulta sobre permisos</t>
  </si>
  <si>
    <t xml:space="preserve">SR1453649</t>
  </si>
  <si>
    <t xml:space="preserve">Restablecer usuario Yenny Velazquez en MicroStrategy</t>
  </si>
  <si>
    <t xml:space="preserve">SR1454982</t>
  </si>
  <si>
    <t xml:space="preserve">Reactivar Usuario Microstrategy</t>
  </si>
  <si>
    <t xml:space="preserve">NRODRIGUEZ@DIRECTVPR.COM</t>
  </si>
  <si>
    <t xml:space="preserve">SR1455931</t>
  </si>
  <si>
    <t xml:space="preserve">Restablecer usuario Nohora Patricia Cupitra Arias en MicroStrategy</t>
  </si>
  <si>
    <t xml:space="preserve">SR1456100</t>
  </si>
  <si>
    <t xml:space="preserve">Microstrategy</t>
  </si>
  <si>
    <t xml:space="preserve">AFERNA11@DIRECTVLA.COM.AR</t>
  </si>
  <si>
    <t xml:space="preserve">SR1456182</t>
  </si>
  <si>
    <t xml:space="preserve">juan felipe salgado dos perfiles como supervisor y ejecutivo</t>
  </si>
  <si>
    <t xml:space="preserve">JSALGADOH@DIRECTV.CL</t>
  </si>
  <si>
    <t xml:space="preserve">SR1457789</t>
  </si>
  <si>
    <t xml:space="preserve">No puede crear ni copiar informes - SR1420333</t>
  </si>
  <si>
    <t xml:space="preserve">DROJAST@DIRECTV.PE</t>
  </si>
  <si>
    <t xml:space="preserve">HFIGUERE@DIRECTVLA.COM.AR</t>
  </si>
  <si>
    <t xml:space="preserve">SR1458724</t>
  </si>
  <si>
    <t xml:space="preserve">Modificacion usuario Milena Muñoz en Microstrategy</t>
  </si>
  <si>
    <t xml:space="preserve">SR1459113</t>
  </si>
  <si>
    <t xml:space="preserve">SR1459114</t>
  </si>
  <si>
    <t xml:space="preserve">SR1459967</t>
  </si>
  <si>
    <t xml:space="preserve">solicitud de envio de reporte</t>
  </si>
  <si>
    <t xml:space="preserve">PBAUTE@DIRECTVLA.COM.UY</t>
  </si>
  <si>
    <t xml:space="preserve">SR1460095</t>
  </si>
  <si>
    <t xml:space="preserve">MICROSTRATEGY  - Modificación/Baja de usuario</t>
  </si>
  <si>
    <t xml:space="preserve">SR1460424</t>
  </si>
  <si>
    <t xml:space="preserve">SR1462813</t>
  </si>
  <si>
    <t xml:space="preserve">-Acceso a Microstrategy - Luz Amy</t>
  </si>
  <si>
    <t xml:space="preserve">LCALDERON@DIRECTVPR.COM</t>
  </si>
  <si>
    <t xml:space="preserve">SR1464921</t>
  </si>
  <si>
    <t xml:space="preserve">Reacomodamiento de atributos en  subcarpetas para categoria contacto</t>
  </si>
  <si>
    <t xml:space="preserve">SR1466881</t>
  </si>
  <si>
    <t xml:space="preserve">Formato Acceso BI</t>
  </si>
  <si>
    <t xml:space="preserve">LEOCER@DIRECTVLA.COM.CO</t>
  </si>
  <si>
    <t xml:space="preserve">SR1468644</t>
  </si>
  <si>
    <t xml:space="preserve">Sin acceso a Microestrategy</t>
  </si>
  <si>
    <t xml:space="preserve">MOSPINA@DIRECTVLA.COM.CO</t>
  </si>
  <si>
    <t xml:space="preserve">SR1469754</t>
  </si>
  <si>
    <t xml:space="preserve">Mapeos MS - tipo agente/usuario SDS/creacion WO CH</t>
  </si>
  <si>
    <t xml:space="preserve">SR1471045</t>
  </si>
  <si>
    <t xml:space="preserve">ICEBERG - Actualizar componentes y calculos Disponibilidad IT</t>
  </si>
  <si>
    <t xml:space="preserve">SR1472178</t>
  </si>
  <si>
    <t xml:space="preserve">Pasar desarrollo al Proyecto  PREPRO y Planificar el pasaje a PROD despues del  2.3 pase</t>
  </si>
  <si>
    <t xml:space="preserve">SR1473082</t>
  </si>
  <si>
    <t xml:space="preserve">Reactivar/ Creacion de usuario aflores1 en Microstrategy</t>
  </si>
  <si>
    <t xml:space="preserve">AFLORES1@DIRECTVLA.COM.AR</t>
  </si>
  <si>
    <t xml:space="preserve">SR1477175</t>
  </si>
  <si>
    <t xml:space="preserve">SR - LATAM-SD-BI-MSTR - Usuarios sin accesos 60 d?as</t>
  </si>
  <si>
    <t xml:space="preserve">SR1477179</t>
  </si>
  <si>
    <t xml:space="preserve">SR - LATAM-SD-BI-MSTR - Publicar Documentación Microstrategy</t>
  </si>
  <si>
    <t xml:space="preserve">SR1478405</t>
  </si>
  <si>
    <t xml:space="preserve">ICEBERG - Actualizar componentes Disponibilidad IT</t>
  </si>
  <si>
    <t xml:space="preserve">QUEUED</t>
  </si>
  <si>
    <t xml:space="preserve">SR1480482</t>
  </si>
  <si>
    <t xml:space="preserve">SR1480830</t>
  </si>
  <si>
    <t xml:space="preserve">Metrica de agenda en 1ra linea</t>
  </si>
  <si>
    <t xml:space="preserve">SR1481016</t>
  </si>
  <si>
    <t xml:space="preserve">Reactivación usuario Elizabeth Rivera Salazar en Microstrategy</t>
  </si>
  <si>
    <t xml:space="preserve">LBUITRAG@DIRECTVLA.COM.CO</t>
  </si>
  <si>
    <t xml:space="preserve">SR1483068</t>
  </si>
  <si>
    <t xml:space="preserve">Permisos MicroStrategy</t>
  </si>
  <si>
    <t xml:space="preserve">FRAPLA@DIRECTVLA.COM.CO</t>
  </si>
  <si>
    <t xml:space="preserve">SR1485546</t>
  </si>
  <si>
    <t xml:space="preserve">PPM 32350 Proyecto Migración PRE-POS  Colombia /mapeor de atributos y metricas en MicroStrategy</t>
  </si>
  <si>
    <t xml:space="preserve">SR1487399</t>
  </si>
  <si>
    <t xml:space="preserve">Eliminar Suscripción BI Microstrategy</t>
  </si>
  <si>
    <t xml:space="preserve">MMORANCH@DIRECTVLA.COM.AR</t>
  </si>
  <si>
    <t xml:space="preserve">SR1487769</t>
  </si>
  <si>
    <t xml:space="preserve">Conexión MS - SURVEYMONKEY</t>
  </si>
  <si>
    <t xml:space="preserve">SR1488299</t>
  </si>
  <si>
    <t xml:space="preserve">MICROSTRATEGY  - Modificación</t>
  </si>
  <si>
    <t xml:space="preserve">SR1490026</t>
  </si>
  <si>
    <t xml:space="preserve">RE: Creación de Usuario/Accesos //SR1464678</t>
  </si>
  <si>
    <t xml:space="preserve">AVELIZB@DIRECTV.CL</t>
  </si>
  <si>
    <t xml:space="preserve">SR1491006</t>
  </si>
  <si>
    <t xml:space="preserve">Conexión MS - GOOGLE ANALYTICS</t>
  </si>
  <si>
    <t xml:space="preserve">SR1491645</t>
  </si>
  <si>
    <t xml:space="preserve">Consulta Permisos Micro</t>
  </si>
  <si>
    <t xml:space="preserve">SR1491647</t>
  </si>
  <si>
    <t xml:space="preserve">SR1491649</t>
  </si>
  <si>
    <t xml:space="preserve">SR1496196</t>
  </si>
  <si>
    <t xml:space="preserve">SR1496314</t>
  </si>
  <si>
    <t xml:space="preserve">Copiar carpeta de Micro</t>
  </si>
  <si>
    <t xml:space="preserve">SR1496424</t>
  </si>
  <si>
    <t xml:space="preserve">Por favor, deshabilitar en Microstrategy a los usuarios del archivo adjunto.</t>
  </si>
  <si>
    <t xml:space="preserve">SR1496908</t>
  </si>
  <si>
    <t xml:space="preserve">RE: Reactivación de los usuarios en MicroStrategy</t>
  </si>
  <si>
    <t xml:space="preserve">SR1499855</t>
  </si>
  <si>
    <t xml:space="preserve">MICROSTRATEGY  - Alta de usuario ( ticket de registro)</t>
  </si>
  <si>
    <t xml:space="preserve">SR1502324</t>
  </si>
  <si>
    <t xml:space="preserve">Permisos Carpeta Vendors MicroStrategy</t>
  </si>
  <si>
    <t xml:space="preserve">SR1504052</t>
  </si>
  <si>
    <t xml:space="preserve">INCLUSION CORREO</t>
  </si>
  <si>
    <t xml:space="preserve">SR1506324</t>
  </si>
  <si>
    <t xml:space="preserve">MicroStrategy - Error Code= -2147212797</t>
  </si>
  <si>
    <t xml:space="preserve">SFILIPPI@DIRECTVLA.COM.AR</t>
  </si>
  <si>
    <t xml:space="preserve">SR1506963</t>
  </si>
  <si>
    <t xml:space="preserve">Falla ingreso a MicroStrategy</t>
  </si>
  <si>
    <t xml:space="preserve">JEFFERSON.BENJUMEA@DIRECTVTLC.COM</t>
  </si>
  <si>
    <t xml:space="preserve">SR1507089</t>
  </si>
  <si>
    <t xml:space="preserve">MAPEOS C.CARE - TI_OTHERTIME y SUPERVISOR_AVAYA_CMS_CO</t>
  </si>
  <si>
    <t xml:space="preserve">SR1507291</t>
  </si>
  <si>
    <t xml:space="preserve">RE: Cambio Horario Planificación Cubo MicroStrategy</t>
  </si>
  <si>
    <t xml:space="preserve">SR1509938</t>
  </si>
  <si>
    <t xml:space="preserve">solicitud tkt</t>
  </si>
  <si>
    <t xml:space="preserve">SR1509940</t>
  </si>
  <si>
    <t xml:space="preserve">metricas 23/4</t>
  </si>
  <si>
    <t xml:space="preserve">SR1512230</t>
  </si>
  <si>
    <t xml:space="preserve">MICROSTRATEGY - Habilitación de cuenta</t>
  </si>
  <si>
    <t xml:space="preserve">JSAN@DIRECTVLA.COM.AR</t>
  </si>
  <si>
    <t xml:space="preserve">FBOSCACC@DIRECTVLA.COM.AR</t>
  </si>
  <si>
    <t xml:space="preserve">SR1512948</t>
  </si>
  <si>
    <t xml:space="preserve">Error inicio de sesión</t>
  </si>
  <si>
    <t xml:space="preserve">FELBUI@DIRECTVLA.COM.CO</t>
  </si>
  <si>
    <t xml:space="preserve">SR1515244</t>
  </si>
  <si>
    <t xml:space="preserve">SR1516049</t>
  </si>
  <si>
    <t xml:space="preserve">Permiso en Microestrategy</t>
  </si>
  <si>
    <t xml:space="preserve">NMIGUEL@DIRECTVLA.COM.AR</t>
  </si>
  <si>
    <t xml:space="preserve">SR1516297</t>
  </si>
  <si>
    <t xml:space="preserve">correccion de tablero</t>
  </si>
  <si>
    <t xml:space="preserve">SR1519705</t>
  </si>
  <si>
    <t xml:space="preserve">no accede a Microstrategy</t>
  </si>
  <si>
    <t xml:space="preserve">PAODEV@DIRECTVLA.COM.CO</t>
  </si>
  <si>
    <t xml:space="preserve">SR1519919</t>
  </si>
  <si>
    <t xml:space="preserve">moficacion de mapeos cantidad de decos</t>
  </si>
  <si>
    <t xml:space="preserve">SR1520149</t>
  </si>
  <si>
    <t xml:space="preserve">Consulta Base Microestrategy</t>
  </si>
  <si>
    <t xml:space="preserve">JALVAREZG@DIRECTV.CL</t>
  </si>
  <si>
    <t xml:space="preserve">SR1520234</t>
  </si>
  <si>
    <t xml:space="preserve">Reactivar usuario en Microstrategy</t>
  </si>
  <si>
    <t xml:space="preserve">IPOMA@DIRECTVLA.COM.AR</t>
  </si>
  <si>
    <t xml:space="preserve">SR1522223</t>
  </si>
  <si>
    <t xml:space="preserve">Mapeos MS - C.CARE</t>
  </si>
  <si>
    <t xml:space="preserve">SR1522913</t>
  </si>
  <si>
    <t xml:space="preserve">Error en reportería Microstrategy</t>
  </si>
  <si>
    <t xml:space="preserve">SATERAN@DIRECTV.COM.EC</t>
  </si>
  <si>
    <t xml:space="preserve">SR1523421</t>
  </si>
  <si>
    <t xml:space="preserve">Cambiar Propietario en Desarrollos y Cubos Microstrategy</t>
  </si>
  <si>
    <t xml:space="preserve">MBALBUJA@DIRECTV.COM.EC</t>
  </si>
  <si>
    <t xml:space="preserve">SR1523527</t>
  </si>
  <si>
    <t xml:space="preserve">no desactivar cuenta de bi</t>
  </si>
  <si>
    <t xml:space="preserve">VCAILLOU@DIRECTVLA.COM.AR</t>
  </si>
  <si>
    <t xml:space="preserve">SR1523807</t>
  </si>
  <si>
    <t xml:space="preserve">RE: Creación Carpeta para suscipción en MicroStrategy al FTP</t>
  </si>
  <si>
    <t xml:space="preserve">SR1523997</t>
  </si>
  <si>
    <t xml:space="preserve">Habilitar schedule</t>
  </si>
  <si>
    <t xml:space="preserve">SR1527363</t>
  </si>
  <si>
    <t xml:space="preserve">RV: pasar a produccion LATAM-SD-BI-MSTR</t>
  </si>
  <si>
    <t xml:space="preserve">SR1527811</t>
  </si>
  <si>
    <t xml:space="preserve">ADMINISTRACIÓN DE USUARIOS VENDORS EN MSTGY</t>
  </si>
  <si>
    <t xml:space="preserve">SR1532035</t>
  </si>
  <si>
    <t xml:space="preserve">Pasaje</t>
  </si>
  <si>
    <t xml:space="preserve">SR1533120</t>
  </si>
  <si>
    <t xml:space="preserve">Actualización de métricas modelo Aspect</t>
  </si>
  <si>
    <t xml:space="preserve">GWILLIAM@DIRECTVLA.COM.AR</t>
  </si>
  <si>
    <t xml:space="preserve">SR1534698</t>
  </si>
  <si>
    <t xml:space="preserve">Documentación MSTR</t>
  </si>
  <si>
    <t xml:space="preserve">SR1534703</t>
  </si>
  <si>
    <t xml:space="preserve">SR1534792</t>
  </si>
  <si>
    <t xml:space="preserve">Sin datos Utilización MicroStrategy</t>
  </si>
  <si>
    <t xml:space="preserve">CRILOPP@DIRECTVLA.COM.CO</t>
  </si>
  <si>
    <t xml:space="preserve">SR1538154</t>
  </si>
  <si>
    <t xml:space="preserve">Reporte Log-in-out</t>
  </si>
  <si>
    <t xml:space="preserve">JGOMEZM2@DIRECTVLA.COM.CO</t>
  </si>
  <si>
    <t xml:space="preserve">INPROG</t>
  </si>
  <si>
    <t xml:space="preserve">SR1538285</t>
  </si>
  <si>
    <t xml:space="preserve">Cambio de Usuario y Permisos en Microstrategy</t>
  </si>
  <si>
    <t xml:space="preserve">ACEVALLO@DIRECTV.COM.EC</t>
  </si>
  <si>
    <t xml:space="preserve">Número de registros:</t>
  </si>
  <si>
    <t xml:space="preserve">Cláusula Where guardada:</t>
  </si>
  <si>
    <t xml:space="preserve">( sr.ownergroup  =  'LATAM-SD-BI-MSTR'  )</t>
  </si>
  <si>
    <t xml:space="preserve">Cláusula Where de tiempo de ejecución:</t>
  </si>
  <si>
    <t xml:space="preserve">15/06/2018 09:01:43</t>
  </si>
  <si>
    <t xml:space="preserve">1</t>
  </si>
  <si>
    <t xml:space="preserve">/</t>
  </si>
  <si>
    <t xml:space="preserve">RESOLVED</t>
  </si>
  <si>
    <t xml:space="preserve">08/06/2018 09:01:07</t>
  </si>
  <si>
    <t>Propietario</t>
  </si>
  <si>
    <t>Aging</t>
  </si>
</sst>
</file>

<file path=xl/styles.xml><?xml version="1.0" encoding="utf-8"?>
<styleSheet xmlns="http://schemas.openxmlformats.org/spreadsheetml/2006/main">
  <numFmts count="4">
    <numFmt numFmtId="164" formatCode="General"/>
    <numFmt numFmtId="165" formatCode="#"/>
    <numFmt numFmtId="166" formatCode="DD/MM/YY"/>
    <numFmt numFmtId="167" formatCode="HH:MM:SS"/>
  </numFmts>
  <fonts count="8">
    <font>
      <sz val="11"/>
      <color rgb="FF000000"/>
      <name val="Calibri"/>
      <family val="2"/>
      <charset val="1"/>
    </font>
    <font>
      <sz val="10"/>
      <name val="Arial"/>
      <family val="0"/>
    </font>
    <font>
      <sz val="10"/>
      <name val="Arial"/>
      <family val="0"/>
    </font>
    <font>
      <sz val="10"/>
      <name val="Arial"/>
      <family val="0"/>
    </font>
    <font>
      <sz val="10"/>
      <color rgb="FF000000"/>
      <name val="serif"/>
      <family val="0"/>
      <charset val="1"/>
    </font>
    <font>
      <b val="true"/>
      <sz val="22.5"/>
      <color rgb="FF333399"/>
      <name val="serif"/>
      <family val="0"/>
      <charset val="1"/>
    </font>
    <font>
      <b val="true"/>
      <sz val="10"/>
      <color rgb="FF333399"/>
      <name val="serif"/>
      <family val="0"/>
      <charset val="1"/>
    </font>
    <font>
      <b val="true"/>
      <sz val="10"/>
      <color rgb="FF000000"/>
      <name val="serif"/>
      <family val="0"/>
      <charset val="1"/>
    </font>
  </fonts>
  <fills count="2">
    <fill>
      <patternFill patternType="none"/>
    </fill>
    <fill>
      <patternFill patternType="gray125"/>
    </fill>
  </fills>
  <borders count="5">
    <border diagonalDown="false" diagonalUp="false">
      <left/>
      <right/>
      <top/>
      <bottom/>
      <diagonal/>
    </border>
    <border diagonalDown="false" diagonalUp="false">
      <left/>
      <right/>
      <top/>
      <bottom style="thin"/>
      <diagonal/>
    </border>
    <border diagonalDown="false" diagonalUp="false">
      <left/>
      <right/>
      <top/>
      <bottom style="dotted">
        <color rgb="FF808080"/>
      </bottom>
      <diagonal/>
    </border>
    <border diagonalDown="false" diagonalUp="false">
      <left/>
      <right/>
      <top style="thin"/>
      <bottom/>
      <diagonal/>
    </border>
    <border diagonalDown="false" diagonalUp="false">
      <left/>
      <right/>
      <top/>
      <bottom style="dotted"/>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6">
    <xf applyAlignment="false" applyBorder="false" applyFont="false" applyNumberFormat="true" applyProtection="false" borderId="0" fillId="0" fontId="0" numFmtId="165"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0" fillId="0" fontId="4" numFmtId="164" xfId="0">
      <alignment horizontal="right" indent="0" shrinkToFit="false" textRotation="0" vertical="top" wrapText="true"/>
      <protection hidden="false" locked="true"/>
    </xf>
    <xf applyAlignment="true" applyBorder="true" applyFont="true" applyProtection="true" borderId="1" fillId="0" fontId="5" numFmtId="164" xfId="0">
      <alignment horizontal="left" indent="0" shrinkToFit="false" textRotation="0" vertical="top" wrapText="true"/>
      <protection hidden="false" locked="true"/>
    </xf>
    <xf applyAlignment="true" applyBorder="true" applyFont="true" applyProtection="true" borderId="1" fillId="0" fontId="6" numFmtId="164" xfId="0">
      <alignment horizontal="right" indent="0" shrinkToFit="false" textRotation="0" vertical="bottom" wrapText="true"/>
      <protection hidden="false" locked="true"/>
    </xf>
    <xf applyAlignment="true" applyBorder="true" applyFont="true" applyProtection="true" borderId="2" fillId="0" fontId="4" numFmtId="164" xfId="0">
      <alignment horizontal="right" indent="0" shrinkToFit="false" textRotation="0" vertical="top" wrapText="true"/>
      <protection hidden="false" locked="true"/>
    </xf>
    <xf applyAlignment="true" applyBorder="true" applyFont="true" applyProtection="true" borderId="2" fillId="0" fontId="4" numFmtId="166" xfId="0">
      <alignment horizontal="right" indent="0" shrinkToFit="false" textRotation="0" vertical="top" wrapText="true"/>
      <protection hidden="false" locked="true"/>
    </xf>
    <xf applyAlignment="true" applyBorder="true" applyFont="true" applyProtection="true" borderId="2" fillId="0" fontId="4" numFmtId="167" xfId="0">
      <alignment horizontal="right" indent="0" shrinkToFit="false" textRotation="0" vertical="top" wrapText="true"/>
      <protection hidden="false" locked="true"/>
    </xf>
    <xf applyAlignment="true" applyBorder="true" applyFont="true" applyProtection="true" borderId="3" fillId="0" fontId="7" numFmtId="164" xfId="0">
      <alignment horizontal="left" indent="0" shrinkToFit="false" textRotation="0" vertical="top" wrapText="true"/>
      <protection hidden="false" locked="true"/>
    </xf>
    <xf applyAlignment="true" applyBorder="true" applyFont="true" applyProtection="true" borderId="3" fillId="0" fontId="4" numFmtId="164" xfId="0">
      <alignment horizontal="left" indent="0" shrinkToFit="false" textRotation="0" vertical="top" wrapText="true"/>
      <protection hidden="false" locked="true"/>
    </xf>
    <xf applyAlignment="true" applyBorder="true" applyFont="true" applyProtection="true" borderId="1"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1" fillId="0" fontId="4" numFmtId="164" xfId="0">
      <alignment horizontal="left" indent="0" shrinkToFit="false" textRotation="0" vertical="top" wrapText="true"/>
      <protection hidden="false" locked="true"/>
    </xf>
    <xf applyAlignment="true" applyBorder="true" applyFont="true" applyProtection="false" borderId="0" fillId="0" fontId="4" numFmtId="164" xfId="0">
      <alignment horizontal="left" indent="0" shrinkToFit="false" textRotation="0" vertical="top" wrapText="true"/>
      <protection hidden="false" locked="true"/>
    </xf>
    <xf applyAlignment="true" applyBorder="true" applyFont="true" applyProtection="false" borderId="0" fillId="0" fontId="4" numFmtId="164" xfId="0">
      <alignment horizontal="right" indent="0" shrinkToFit="false" textRotation="0" vertical="top" wrapText="true"/>
      <protection hidden="false" locked="true"/>
    </xf>
    <xf applyAlignment="true" applyBorder="true" applyFont="true" applyProtection="false" borderId="1" fillId="0" fontId="5" numFmtId="164" xfId="0">
      <alignment horizontal="left" indent="0" shrinkToFit="false" textRotation="0" vertical="top" wrapText="true"/>
      <protection hidden="false" locked="true"/>
    </xf>
    <xf applyAlignment="true" applyBorder="true" applyFont="true" applyProtection="false" borderId="1" fillId="0" fontId="6" numFmtId="164" xfId="0">
      <alignment horizontal="right" indent="0" shrinkToFit="false" textRotation="0" vertical="bottom" wrapText="true"/>
      <protection hidden="false" locked="true"/>
    </xf>
    <xf applyAlignment="true" applyBorder="true" applyFont="true" applyProtection="false" borderId="4" fillId="0" fontId="4" numFmtId="164" xfId="0">
      <alignment horizontal="right" indent="0" shrinkToFit="false" textRotation="0" vertical="top" wrapText="true"/>
      <protection hidden="false" locked="true"/>
    </xf>
    <xf applyAlignment="true" applyBorder="true" applyFont="true" applyProtection="false" borderId="4" fillId="0" fontId="4" numFmtId="166" xfId="0">
      <alignment horizontal="right" indent="0" shrinkToFit="false" textRotation="0" vertical="top" wrapText="true"/>
      <protection hidden="false" locked="true"/>
    </xf>
    <xf applyAlignment="true" applyBorder="true" applyFont="true" applyProtection="false" borderId="4" fillId="0" fontId="4" numFmtId="167" xfId="0">
      <alignment horizontal="right" indent="0" shrinkToFit="false" textRotation="0" vertical="top" wrapText="true"/>
      <protection hidden="false" locked="true"/>
    </xf>
    <xf applyAlignment="true" applyBorder="true" applyFont="true" applyProtection="false" borderId="3" fillId="0" fontId="7" numFmtId="164" xfId="0">
      <alignment horizontal="left" indent="0" shrinkToFit="false" textRotation="0" vertical="top" wrapText="true"/>
      <protection hidden="false" locked="true"/>
    </xf>
    <xf applyAlignment="true" applyBorder="true" applyFont="true" applyProtection="false" borderId="3" fillId="0" fontId="4" numFmtId="164" xfId="0">
      <alignment horizontal="left" indent="0" shrinkToFit="false" textRotation="0" vertical="top" wrapText="true"/>
      <protection hidden="false" locked="true"/>
    </xf>
    <xf applyAlignment="true" applyBorder="true" applyFont="true" applyProtection="false" borderId="1" fillId="0" fontId="7" numFmtId="164" xfId="0">
      <alignment horizontal="left" indent="0" shrinkToFit="false" textRotation="0" vertical="top" wrapText="true"/>
      <protection hidden="false" locked="true"/>
    </xf>
    <xf applyAlignment="true" applyBorder="true" applyFont="true" applyProtection="false" borderId="0" fillId="0" fontId="7" numFmtId="164" xfId="0">
      <alignment horizontal="left" indent="0" shrinkToFit="false" textRotation="0" vertical="top" wrapText="true"/>
      <protection hidden="false" locked="true"/>
    </xf>
    <xf applyAlignment="true" applyBorder="true" applyFont="true" applyProtection="false" borderId="1" fillId="0" fontId="4" numFmtId="164" xfId="0">
      <alignment horizontal="left"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3" Target="worksheets/sheet2.xml" Type="http://schemas.openxmlformats.org/officeDocument/2006/relationships/worksheet"/><Relationship Id="rId4" Target="sharedStrings.xml" Type="http://schemas.openxmlformats.org/officeDocument/2006/relationships/sharedStrings"/></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404"/>
  <sheetViews>
    <sheetView colorId="64" defaultGridColor="true" rightToLeft="false" showFormulas="false" showGridLines="true" showOutlineSymbols="true" showRowColHeaders="true" showZeros="true" tabSelected="true" topLeftCell="A1" view="normal" workbookViewId="0" zoomScale="85" zoomScaleNormal="85" zoomScalePageLayoutView="100">
      <selection activeCell="Q1" activeCellId="0" pane="topLeft" sqref="Q1"/>
    </sheetView>
  </sheetViews>
  <sheetFormatPr defaultRowHeight="13.8" outlineLevelCol="0" outlineLevelRow="0" zeroHeight="false"/>
  <cols>
    <col min="1" max="1" customWidth="true" hidden="false" style="1" width="9.57" collapsed="true" outlineLevel="0"/>
    <col min="2" max="2" customWidth="true" hidden="false" style="1" width="15.14" collapsed="true" outlineLevel="0"/>
    <col min="3" max="3" customWidth="true" hidden="false" style="1" width="5.43" collapsed="true" outlineLevel="0"/>
    <col min="4" max="4" customWidth="true" hidden="false" style="1" width="20.57" collapsed="true" outlineLevel="0"/>
    <col min="5" max="5" customWidth="true" hidden="false" style="1" width="17.85" collapsed="true" outlineLevel="0"/>
    <col min="6" max="6" customWidth="true" hidden="false" style="1" width="2.71" collapsed="true" outlineLevel="0"/>
    <col min="7" max="11" customWidth="true" hidden="false" style="1" width="9.57" collapsed="true" outlineLevel="0"/>
    <col min="12" max="12" customWidth="true" hidden="false" style="1" width="11.0" collapsed="true" outlineLevel="0"/>
    <col min="13" max="13" customWidth="true" hidden="false" style="1" width="1.43" collapsed="true" outlineLevel="0"/>
    <col min="14" max="14" customWidth="true" hidden="false" style="1" width="5.43" collapsed="true" outlineLevel="0"/>
    <col min="15" max="15" customWidth="true" hidden="false" style="1" width="2.71" collapsed="true" outlineLevel="0"/>
    <col min="16" max="16" customWidth="true" hidden="false" style="1" width="20.57" collapsed="true" outlineLevel="0"/>
    <col min="17" max="1020" customWidth="true" hidden="false" style="1" width="8.53" collapsed="true" outlineLevel="0"/>
    <col min="1021" max="1022" customWidth="true" hidden="false" style="1" width="9.14" collapsed="true" outlineLevel="0"/>
    <col min="1023" max="1025" customWidth="true" hidden="false" style="0" width="9.14" collapsed="true" outlineLevel="0"/>
  </cols>
  <sheetData>
    <row collapsed="false" customFormat="false" customHeight="false" hidden="false" ht="13.8" outlineLevel="0" r="1">
      <c r="A1" s="2"/>
      <c r="B1" s="2"/>
      <c r="C1" s="2"/>
      <c r="D1" s="2"/>
      <c r="E1" s="2"/>
      <c r="F1" s="3"/>
      <c r="G1" s="3"/>
      <c r="H1" s="3"/>
      <c r="I1" s="3"/>
      <c r="J1" s="3"/>
      <c r="K1" s="3"/>
      <c r="L1" s="3"/>
      <c r="M1" s="3"/>
      <c r="N1" s="3"/>
    </row>
    <row collapsed="false" customFormat="false" customHeight="true" hidden="false" ht="27.6" outlineLevel="0" r="2">
      <c r="A2" s="4" t="s">
        <v>0</v>
      </c>
      <c r="B2" s="4"/>
      <c r="C2" s="4"/>
      <c r="D2" s="4"/>
      <c r="E2" s="4"/>
      <c r="F2" s="4"/>
      <c r="G2" s="4"/>
      <c r="H2" s="4"/>
      <c r="I2" s="4"/>
      <c r="J2" s="4"/>
      <c r="K2" s="4"/>
      <c r="L2" s="4"/>
      <c r="M2" s="4"/>
      <c r="N2" s="4"/>
      <c r="O2" s="4"/>
      <c r="P2" s="4"/>
    </row>
    <row collapsed="false" customFormat="false" customHeight="true" hidden="false" ht="35.05" outlineLevel="0" r="3">
      <c r="A3" s="5" t="s">
        <v>1</v>
      </c>
      <c r="B3" s="5" t="s">
        <v>2</v>
      </c>
      <c r="C3" s="5"/>
      <c r="D3" s="5" t="s">
        <v>3</v>
      </c>
      <c r="E3" s="5" t="s">
        <v>4</v>
      </c>
      <c r="F3" s="5"/>
      <c r="G3" s="5" t="s">
        <v>5</v>
      </c>
      <c r="H3" s="5" t="s">
        <v>6</v>
      </c>
      <c r="I3" s="5"/>
      <c r="J3" s="5" t="s">
        <v>7</v>
      </c>
      <c r="K3" s="5"/>
      <c r="L3" s="5" t="s">
        <v>8</v>
      </c>
      <c r="M3" s="5"/>
      <c r="N3" s="5"/>
      <c r="O3" s="5"/>
      <c r="P3" s="5" t="s">
        <v>9</v>
      </c>
      <c r="Q3" s="5" t="s">
        <v>974</v>
      </c>
    </row>
    <row collapsed="false" customFormat="false" customHeight="true" hidden="false" ht="23.85" outlineLevel="0" r="4">
      <c r="A4" s="6" t="s">
        <v>10</v>
      </c>
      <c r="B4" s="6" t="s">
        <v>11</v>
      </c>
      <c r="C4" s="6"/>
      <c r="D4" s="6" t="s">
        <v>12</v>
      </c>
      <c r="E4" s="6" t="s">
        <v>13</v>
      </c>
      <c r="F4" s="6"/>
      <c r="G4" s="6" t="s">
        <v>14</v>
      </c>
      <c r="H4" s="7" t="n">
        <v>42901.6059224769</v>
      </c>
      <c r="I4" s="8" t="n">
        <v>42901.6059224769</v>
      </c>
      <c r="J4" s="7" t="n">
        <v>42884.5312501968</v>
      </c>
      <c r="K4" s="8" t="n">
        <v>42884.5312501968</v>
      </c>
      <c r="L4" s="6" t="s">
        <v>15</v>
      </c>
      <c r="M4" s="6"/>
      <c r="N4" s="6"/>
      <c r="O4" s="6"/>
      <c r="P4" s="6" t="s">
        <v>16</v>
      </c>
      <c r="Q4" s="0" t="n">
        <f>TODAY()-j4</f>
        <v>385.4687498031999</v>
      </c>
      <c r="R4" t="str">
        <f>VLOOKUP(A4,'Last Week'!A4:I397,7,FALSE)</f>
        <v>CLOSED</v>
      </c>
    </row>
    <row collapsed="false" customFormat="false" customHeight="true" hidden="false" ht="23.85" outlineLevel="0" r="5">
      <c r="A5" s="6" t="s">
        <v>17</v>
      </c>
      <c r="B5" s="6" t="s">
        <v>18</v>
      </c>
      <c r="C5" s="6"/>
      <c r="D5" s="6" t="s">
        <v>19</v>
      </c>
      <c r="E5" s="6" t="s">
        <v>20</v>
      </c>
      <c r="F5" s="6"/>
      <c r="G5" s="6" t="s">
        <v>14</v>
      </c>
      <c r="H5" s="7" t="n">
        <v>43032.3923224653</v>
      </c>
      <c r="I5" s="8" t="n">
        <v>43032.3923224653</v>
      </c>
      <c r="J5" s="7" t="n">
        <v>42884.5874923727</v>
      </c>
      <c r="K5" s="8" t="n">
        <v>42884.5874923727</v>
      </c>
      <c r="L5" s="6" t="s">
        <v>15</v>
      </c>
      <c r="M5" s="6"/>
      <c r="N5" s="6"/>
      <c r="O5" s="6"/>
      <c r="P5" s="6" t="s">
        <v>16</v>
      </c>
      <c r="Q5" s="0" t="n">
        <f>TODAY()-j5</f>
        <v>385.4125076272976</v>
      </c>
      <c r="R5" t="str">
        <f>VLOOKUP(A5,'Last Week'!A4:I397,7,FALSE)</f>
        <v>CLOSED</v>
      </c>
    </row>
    <row collapsed="false" customFormat="false" customHeight="true" hidden="false" ht="35.05" outlineLevel="0" r="6">
      <c r="A6" s="6" t="s">
        <v>21</v>
      </c>
      <c r="B6" s="6" t="s">
        <v>22</v>
      </c>
      <c r="C6" s="6"/>
      <c r="D6" s="6" t="s">
        <v>23</v>
      </c>
      <c r="E6" s="6" t="s">
        <v>24</v>
      </c>
      <c r="F6" s="6"/>
      <c r="G6" s="6" t="s">
        <v>14</v>
      </c>
      <c r="H6" s="7" t="n">
        <v>42901.6081178009</v>
      </c>
      <c r="I6" s="8" t="n">
        <v>42901.6081178009</v>
      </c>
      <c r="J6" s="7" t="n">
        <v>42884.6915527315</v>
      </c>
      <c r="K6" s="8" t="n">
        <v>42884.6915527315</v>
      </c>
      <c r="L6" s="6" t="s">
        <v>15</v>
      </c>
      <c r="M6" s="6"/>
      <c r="N6" s="6"/>
      <c r="O6" s="6"/>
      <c r="P6" s="6" t="s">
        <v>16</v>
      </c>
      <c r="Q6" s="0" t="n">
        <f>TODAY()-j6</f>
        <v>385.30844726850046</v>
      </c>
      <c r="R6" t="str">
        <f>VLOOKUP(A6,'Last Week'!A4:I397,7,FALSE)</f>
        <v>CLOSED</v>
      </c>
    </row>
    <row collapsed="false" customFormat="false" customHeight="true" hidden="false" ht="23.85" outlineLevel="0" r="7">
      <c r="A7" s="6" t="s">
        <v>25</v>
      </c>
      <c r="B7" s="6" t="s">
        <v>26</v>
      </c>
      <c r="C7" s="6"/>
      <c r="D7" s="6" t="s">
        <v>27</v>
      </c>
      <c r="E7" s="6" t="s">
        <v>28</v>
      </c>
      <c r="F7" s="6"/>
      <c r="G7" s="6" t="s">
        <v>14</v>
      </c>
      <c r="H7" s="7" t="n">
        <v>42898.4248504051</v>
      </c>
      <c r="I7" s="8" t="n">
        <v>42898.4248504051</v>
      </c>
      <c r="J7" s="7" t="n">
        <v>42884.7199743171</v>
      </c>
      <c r="K7" s="8" t="n">
        <v>42884.7199743171</v>
      </c>
      <c r="L7" s="6" t="s">
        <v>15</v>
      </c>
      <c r="M7" s="6"/>
      <c r="N7" s="6"/>
      <c r="O7" s="6"/>
      <c r="P7" s="6" t="s">
        <v>29</v>
      </c>
      <c r="Q7" s="0" t="n">
        <f>TODAY()-j7</f>
        <v>385.2800256828996</v>
      </c>
      <c r="R7" t="str">
        <f>VLOOKUP(A7,'Last Week'!A4:I397,7,FALSE)</f>
        <v>CLOSED</v>
      </c>
    </row>
    <row collapsed="false" customFormat="false" customHeight="true" hidden="false" ht="23.85" outlineLevel="0" r="8">
      <c r="A8" s="6" t="s">
        <v>30</v>
      </c>
      <c r="B8" s="6" t="s">
        <v>31</v>
      </c>
      <c r="C8" s="6"/>
      <c r="D8" s="6" t="s">
        <v>32</v>
      </c>
      <c r="E8" s="6" t="s">
        <v>33</v>
      </c>
      <c r="F8" s="6"/>
      <c r="G8" s="6" t="s">
        <v>14</v>
      </c>
      <c r="H8" s="7" t="n">
        <v>42888.4879480903</v>
      </c>
      <c r="I8" s="8" t="n">
        <v>42888.4879480903</v>
      </c>
      <c r="J8" s="7" t="n">
        <v>42884.8594750694</v>
      </c>
      <c r="K8" s="8" t="n">
        <v>42884.8594750694</v>
      </c>
      <c r="L8" s="6" t="s">
        <v>15</v>
      </c>
      <c r="M8" s="6"/>
      <c r="N8" s="6"/>
      <c r="O8" s="6"/>
      <c r="P8" s="6" t="s">
        <v>29</v>
      </c>
      <c r="Q8" s="0" t="n">
        <f>TODAY()-j8</f>
        <v>385.14052493059717</v>
      </c>
      <c r="R8" t="str">
        <f>VLOOKUP(A8,'Last Week'!A4:I397,7,FALSE)</f>
        <v>CLOSED</v>
      </c>
    </row>
    <row collapsed="false" customFormat="false" customHeight="true" hidden="false" ht="23.85" outlineLevel="0" r="9">
      <c r="A9" s="6" t="s">
        <v>34</v>
      </c>
      <c r="B9" s="6" t="s">
        <v>35</v>
      </c>
      <c r="C9" s="6"/>
      <c r="D9" s="6" t="s">
        <v>36</v>
      </c>
      <c r="E9" s="6" t="s">
        <v>37</v>
      </c>
      <c r="F9" s="6"/>
      <c r="G9" s="6" t="s">
        <v>14</v>
      </c>
      <c r="H9" s="7" t="n">
        <v>42892.6995155671</v>
      </c>
      <c r="I9" s="8" t="n">
        <v>42892.6995155671</v>
      </c>
      <c r="J9" s="7" t="n">
        <v>42886.6004946875</v>
      </c>
      <c r="K9" s="8" t="n">
        <v>42886.6004946875</v>
      </c>
      <c r="L9" s="6" t="s">
        <v>15</v>
      </c>
      <c r="M9" s="6"/>
      <c r="N9" s="6"/>
      <c r="O9" s="6"/>
      <c r="P9" s="6" t="s">
        <v>29</v>
      </c>
      <c r="Q9" s="0" t="n">
        <f>TODAY()-j9</f>
        <v>383.3995053125036</v>
      </c>
      <c r="R9" t="str">
        <f>VLOOKUP(A9,'Last Week'!A4:I397,7,FALSE)</f>
        <v>CLOSED</v>
      </c>
    </row>
    <row collapsed="false" customFormat="false" customHeight="true" hidden="false" ht="23.85" outlineLevel="0" r="10">
      <c r="A10" s="6" t="s">
        <v>38</v>
      </c>
      <c r="B10" s="6" t="s">
        <v>39</v>
      </c>
      <c r="C10" s="6"/>
      <c r="D10" s="6" t="s">
        <v>40</v>
      </c>
      <c r="E10" s="6" t="s">
        <v>41</v>
      </c>
      <c r="F10" s="6"/>
      <c r="G10" s="6" t="s">
        <v>14</v>
      </c>
      <c r="H10" s="7" t="n">
        <v>42941.7614384607</v>
      </c>
      <c r="I10" s="8" t="n">
        <v>42941.7614384607</v>
      </c>
      <c r="J10" s="7" t="n">
        <v>42886.9156795023</v>
      </c>
      <c r="K10" s="8" t="n">
        <v>42886.9156795023</v>
      </c>
      <c r="L10" s="6" t="s">
        <v>15</v>
      </c>
      <c r="M10" s="6"/>
      <c r="N10" s="6"/>
      <c r="O10" s="6"/>
      <c r="P10" s="6" t="s">
        <v>29</v>
      </c>
      <c r="Q10" s="0" t="n">
        <f>TODAY()-j10</f>
        <v>383.0843204976991</v>
      </c>
      <c r="R10" t="str">
        <f>VLOOKUP(A10,'Last Week'!A4:I397,7,FALSE)</f>
        <v>CLOSED</v>
      </c>
    </row>
    <row collapsed="false" customFormat="false" customHeight="true" hidden="false" ht="23.85" outlineLevel="0" r="11">
      <c r="A11" s="6" t="s">
        <v>42</v>
      </c>
      <c r="B11" s="6" t="s">
        <v>43</v>
      </c>
      <c r="C11" s="6"/>
      <c r="D11" s="6" t="s">
        <v>44</v>
      </c>
      <c r="E11" s="6" t="s">
        <v>45</v>
      </c>
      <c r="F11" s="6"/>
      <c r="G11" s="6" t="s">
        <v>14</v>
      </c>
      <c r="H11" s="7" t="n">
        <v>42895.7057748958</v>
      </c>
      <c r="I11" s="8" t="n">
        <v>42895.7057748958</v>
      </c>
      <c r="J11" s="7" t="n">
        <v>42888.7494872685</v>
      </c>
      <c r="K11" s="8" t="n">
        <v>42888.7494872685</v>
      </c>
      <c r="L11" s="6" t="s">
        <v>15</v>
      </c>
      <c r="M11" s="6"/>
      <c r="N11" s="6"/>
      <c r="O11" s="6"/>
      <c r="P11" s="6" t="s">
        <v>46</v>
      </c>
      <c r="Q11" s="0" t="n">
        <f>TODAY()-j11</f>
        <v>381.25051273150166</v>
      </c>
      <c r="R11" t="str">
        <f>VLOOKUP(A11,'Last Week'!A4:I397,7,FALSE)</f>
        <v>CLOSED</v>
      </c>
    </row>
    <row collapsed="false" customFormat="false" customHeight="true" hidden="false" ht="23.85" outlineLevel="0" r="12">
      <c r="A12" s="6" t="s">
        <v>47</v>
      </c>
      <c r="B12" s="6" t="s">
        <v>48</v>
      </c>
      <c r="C12" s="6"/>
      <c r="D12" s="6" t="s">
        <v>49</v>
      </c>
      <c r="E12" s="6" t="s">
        <v>50</v>
      </c>
      <c r="F12" s="6"/>
      <c r="G12" s="6" t="s">
        <v>14</v>
      </c>
      <c r="H12" s="7" t="n">
        <v>42891.6745201157</v>
      </c>
      <c r="I12" s="8" t="n">
        <v>42891.6745201157</v>
      </c>
      <c r="J12" s="7" t="n">
        <v>42889.2776105787</v>
      </c>
      <c r="K12" s="8" t="n">
        <v>42889.2776105787</v>
      </c>
      <c r="L12" s="6" t="s">
        <v>15</v>
      </c>
      <c r="M12" s="6"/>
      <c r="N12" s="6"/>
      <c r="O12" s="6"/>
      <c r="P12" s="6" t="s">
        <v>46</v>
      </c>
      <c r="Q12" s="0" t="n">
        <f>TODAY()-j12</f>
        <v>380.72238942130207</v>
      </c>
      <c r="R12" t="str">
        <f>VLOOKUP(A12,'Last Week'!A4:I397,7,FALSE)</f>
        <v>CLOSED</v>
      </c>
    </row>
    <row collapsed="false" customFormat="false" customHeight="true" hidden="false" ht="23.85" outlineLevel="0" r="13">
      <c r="A13" s="6" t="s">
        <v>51</v>
      </c>
      <c r="B13" s="6" t="s">
        <v>48</v>
      </c>
      <c r="C13" s="6"/>
      <c r="D13" s="6" t="s">
        <v>49</v>
      </c>
      <c r="E13" s="6" t="s">
        <v>50</v>
      </c>
      <c r="F13" s="6"/>
      <c r="G13" s="6" t="s">
        <v>14</v>
      </c>
      <c r="H13" s="7" t="n">
        <v>42892.4968852083</v>
      </c>
      <c r="I13" s="8" t="n">
        <v>42892.4968852083</v>
      </c>
      <c r="J13" s="7" t="n">
        <v>42889.2795772801</v>
      </c>
      <c r="K13" s="8" t="n">
        <v>42889.2795772801</v>
      </c>
      <c r="L13" s="6" t="s">
        <v>15</v>
      </c>
      <c r="M13" s="6"/>
      <c r="N13" s="6"/>
      <c r="O13" s="6"/>
      <c r="P13" s="6" t="s">
        <v>46</v>
      </c>
      <c r="Q13" s="0" t="n">
        <f>TODAY()-j13</f>
        <v>380.7204227199036</v>
      </c>
      <c r="R13" t="str">
        <f>VLOOKUP(A13,'Last Week'!A4:I397,7,FALSE)</f>
        <v>CLOSED</v>
      </c>
    </row>
    <row collapsed="false" customFormat="false" customHeight="true" hidden="false" ht="23.85" outlineLevel="0" r="14">
      <c r="A14" s="6" t="s">
        <v>52</v>
      </c>
      <c r="B14" s="6" t="s">
        <v>53</v>
      </c>
      <c r="C14" s="6"/>
      <c r="D14" s="6" t="s">
        <v>54</v>
      </c>
      <c r="E14" s="6" t="s">
        <v>55</v>
      </c>
      <c r="F14" s="6"/>
      <c r="G14" s="6" t="s">
        <v>14</v>
      </c>
      <c r="H14" s="7" t="n">
        <v>42892.4888567361</v>
      </c>
      <c r="I14" s="8" t="n">
        <v>42892.4888567361</v>
      </c>
      <c r="J14" s="7" t="n">
        <v>42891.4915506944</v>
      </c>
      <c r="K14" s="8" t="n">
        <v>42891.4915506944</v>
      </c>
      <c r="L14" s="6" t="s">
        <v>15</v>
      </c>
      <c r="M14" s="6"/>
      <c r="N14" s="6"/>
      <c r="O14" s="6"/>
      <c r="P14" s="6" t="s">
        <v>46</v>
      </c>
      <c r="Q14" s="0" t="n">
        <f>TODAY()-j14</f>
        <v>378.50844930559833</v>
      </c>
      <c r="R14" t="str">
        <f>VLOOKUP(A14,'Last Week'!A4:I397,7,FALSE)</f>
        <v>CLOSED</v>
      </c>
    </row>
    <row collapsed="false" customFormat="false" customHeight="true" hidden="false" ht="23.85" outlineLevel="0" r="15">
      <c r="A15" s="6" t="s">
        <v>56</v>
      </c>
      <c r="B15" s="6" t="s">
        <v>57</v>
      </c>
      <c r="C15" s="6"/>
      <c r="D15" s="6" t="s">
        <v>54</v>
      </c>
      <c r="E15" s="6" t="s">
        <v>55</v>
      </c>
      <c r="F15" s="6"/>
      <c r="G15" s="6" t="s">
        <v>14</v>
      </c>
      <c r="H15" s="7" t="n">
        <v>42891.6816487384</v>
      </c>
      <c r="I15" s="8" t="n">
        <v>42891.6816487384</v>
      </c>
      <c r="J15" s="7" t="n">
        <v>42891.4949005208</v>
      </c>
      <c r="K15" s="8" t="n">
        <v>42891.4949005208</v>
      </c>
      <c r="L15" s="6" t="s">
        <v>15</v>
      </c>
      <c r="M15" s="6"/>
      <c r="N15" s="6"/>
      <c r="O15" s="6"/>
      <c r="P15" s="6" t="s">
        <v>58</v>
      </c>
      <c r="Q15" s="0" t="n">
        <f>TODAY()-j15</f>
        <v>378.50509947920364</v>
      </c>
      <c r="R15" t="str">
        <f>VLOOKUP(A15,'Last Week'!A4:I397,7,FALSE)</f>
        <v>CLOSED</v>
      </c>
    </row>
    <row collapsed="false" customFormat="false" customHeight="true" hidden="false" ht="23.85" outlineLevel="0" r="16">
      <c r="A16" s="6" t="s">
        <v>59</v>
      </c>
      <c r="B16" s="6" t="s">
        <v>60</v>
      </c>
      <c r="C16" s="6"/>
      <c r="D16" s="6" t="s">
        <v>61</v>
      </c>
      <c r="E16" s="6" t="s">
        <v>62</v>
      </c>
      <c r="F16" s="6"/>
      <c r="G16" s="6" t="s">
        <v>14</v>
      </c>
      <c r="H16" s="7" t="n">
        <v>42894.6284437153</v>
      </c>
      <c r="I16" s="8" t="n">
        <v>42894.6284437153</v>
      </c>
      <c r="J16" s="7" t="n">
        <v>42891.6888400926</v>
      </c>
      <c r="K16" s="8" t="n">
        <v>42891.6888400926</v>
      </c>
      <c r="L16" s="6" t="s">
        <v>15</v>
      </c>
      <c r="M16" s="6"/>
      <c r="N16" s="6"/>
      <c r="O16" s="6"/>
      <c r="P16" s="6" t="s">
        <v>46</v>
      </c>
      <c r="Q16" s="0" t="n">
        <f>TODAY()-j16</f>
        <v>378.31115990740363</v>
      </c>
      <c r="R16" t="str">
        <f>VLOOKUP(A16,'Last Week'!A4:I397,7,FALSE)</f>
        <v>CLOSED</v>
      </c>
    </row>
    <row collapsed="false" customFormat="false" customHeight="true" hidden="false" ht="23.85" outlineLevel="0" r="17">
      <c r="A17" s="6" t="s">
        <v>63</v>
      </c>
      <c r="B17" s="6" t="s">
        <v>64</v>
      </c>
      <c r="C17" s="6"/>
      <c r="D17" s="6" t="s">
        <v>65</v>
      </c>
      <c r="E17" s="6" t="s">
        <v>65</v>
      </c>
      <c r="F17" s="6"/>
      <c r="G17" s="6" t="s">
        <v>14</v>
      </c>
      <c r="H17" s="7" t="n">
        <v>42897.8753913889</v>
      </c>
      <c r="I17" s="8" t="n">
        <v>42897.8753913889</v>
      </c>
      <c r="J17" s="7" t="n">
        <v>42892.4119567361</v>
      </c>
      <c r="K17" s="8" t="n">
        <v>42892.4119567361</v>
      </c>
      <c r="L17" s="6" t="s">
        <v>15</v>
      </c>
      <c r="M17" s="6"/>
      <c r="N17" s="6"/>
      <c r="O17" s="6"/>
      <c r="P17" s="6" t="s">
        <v>16</v>
      </c>
      <c r="Q17" s="0" t="n">
        <f>TODAY()-j17</f>
        <v>377.58804326390236</v>
      </c>
      <c r="R17" t="str">
        <f>VLOOKUP(A17,'Last Week'!A4:I397,7,FALSE)</f>
        <v>CLOSED</v>
      </c>
    </row>
    <row collapsed="false" customFormat="false" customHeight="true" hidden="false" ht="35.05" outlineLevel="0" r="18">
      <c r="A18" s="6" t="s">
        <v>66</v>
      </c>
      <c r="B18" s="6" t="s">
        <v>67</v>
      </c>
      <c r="C18" s="6"/>
      <c r="D18" s="6" t="s">
        <v>68</v>
      </c>
      <c r="E18" s="6" t="s">
        <v>68</v>
      </c>
      <c r="F18" s="6"/>
      <c r="G18" s="6" t="s">
        <v>14</v>
      </c>
      <c r="H18" s="7" t="n">
        <v>43217.0854084722</v>
      </c>
      <c r="I18" s="8" t="n">
        <v>43217.0854084722</v>
      </c>
      <c r="J18" s="7" t="n">
        <v>42892.5333289931</v>
      </c>
      <c r="K18" s="8" t="n">
        <v>42892.5333289931</v>
      </c>
      <c r="L18" s="6" t="s">
        <v>15</v>
      </c>
      <c r="M18" s="6"/>
      <c r="N18" s="6"/>
      <c r="O18" s="6"/>
      <c r="P18" s="6" t="s">
        <v>16</v>
      </c>
      <c r="Q18" s="0" t="n">
        <f>TODAY()-j18</f>
        <v>377.46667100689956</v>
      </c>
      <c r="R18" t="str">
        <f>VLOOKUP(A18,'Last Week'!A4:I397,7,FALSE)</f>
        <v>CLOSED</v>
      </c>
    </row>
    <row collapsed="false" customFormat="false" customHeight="true" hidden="false" ht="23.85" outlineLevel="0" r="19">
      <c r="A19" s="6" t="s">
        <v>69</v>
      </c>
      <c r="B19" s="6" t="s">
        <v>70</v>
      </c>
      <c r="C19" s="6"/>
      <c r="D19" s="6" t="s">
        <v>71</v>
      </c>
      <c r="E19" s="6" t="s">
        <v>72</v>
      </c>
      <c r="F19" s="6"/>
      <c r="G19" s="6" t="s">
        <v>14</v>
      </c>
      <c r="H19" s="7" t="n">
        <v>42892.7022148958</v>
      </c>
      <c r="I19" s="8" t="n">
        <v>42892.7022148958</v>
      </c>
      <c r="J19" s="7" t="n">
        <v>42892.5943287732</v>
      </c>
      <c r="K19" s="8" t="n">
        <v>42892.5943287732</v>
      </c>
      <c r="L19" s="6" t="s">
        <v>15</v>
      </c>
      <c r="M19" s="6"/>
      <c r="N19" s="6"/>
      <c r="O19" s="6"/>
      <c r="P19" s="6" t="s">
        <v>46</v>
      </c>
      <c r="Q19" s="0" t="n">
        <f>TODAY()-j19</f>
        <v>377.4056712267993</v>
      </c>
      <c r="R19" t="str">
        <f>VLOOKUP(A19,'Last Week'!A4:I397,7,FALSE)</f>
        <v>CLOSED</v>
      </c>
    </row>
    <row collapsed="false" customFormat="false" customHeight="true" hidden="false" ht="23.85" outlineLevel="0" r="20">
      <c r="A20" s="6" t="s">
        <v>73</v>
      </c>
      <c r="B20" s="6" t="s">
        <v>74</v>
      </c>
      <c r="C20" s="6"/>
      <c r="D20" s="6" t="s">
        <v>75</v>
      </c>
      <c r="E20" s="6" t="s">
        <v>41</v>
      </c>
      <c r="F20" s="6"/>
      <c r="G20" s="6" t="s">
        <v>14</v>
      </c>
      <c r="H20" s="7" t="n">
        <v>42893.4888499537</v>
      </c>
      <c r="I20" s="8" t="n">
        <v>42893.4888499537</v>
      </c>
      <c r="J20" s="7" t="n">
        <v>42892.7833707639</v>
      </c>
      <c r="K20" s="8" t="n">
        <v>42892.7833707639</v>
      </c>
      <c r="L20" s="6" t="s">
        <v>15</v>
      </c>
      <c r="M20" s="6"/>
      <c r="N20" s="6"/>
      <c r="O20" s="6"/>
      <c r="P20" s="6" t="s">
        <v>46</v>
      </c>
      <c r="Q20" s="0" t="n">
        <f>TODAY()-j20</f>
        <v>377.21662923609983</v>
      </c>
      <c r="R20" t="str">
        <f>VLOOKUP(A20,'Last Week'!A4:I397,7,FALSE)</f>
        <v>CLOSED</v>
      </c>
    </row>
    <row collapsed="false" customFormat="false" customHeight="true" hidden="false" ht="23.85" outlineLevel="0" r="21">
      <c r="A21" s="6" t="s">
        <v>76</v>
      </c>
      <c r="B21" s="6" t="s">
        <v>77</v>
      </c>
      <c r="C21" s="6"/>
      <c r="D21" s="6" t="s">
        <v>78</v>
      </c>
      <c r="E21" s="6" t="s">
        <v>78</v>
      </c>
      <c r="F21" s="6"/>
      <c r="G21" s="6" t="s">
        <v>14</v>
      </c>
      <c r="H21" s="7" t="n">
        <v>42935.5243868866</v>
      </c>
      <c r="I21" s="8" t="n">
        <v>42935.5243868866</v>
      </c>
      <c r="J21" s="7" t="n">
        <v>42898.3949218403</v>
      </c>
      <c r="K21" s="8" t="n">
        <v>42898.3949218403</v>
      </c>
      <c r="L21" s="6" t="s">
        <v>15</v>
      </c>
      <c r="M21" s="6"/>
      <c r="N21" s="6"/>
      <c r="O21" s="6"/>
      <c r="P21" s="6" t="s">
        <v>16</v>
      </c>
      <c r="Q21" s="0" t="n">
        <f>TODAY()-j21</f>
        <v>371.6050781597005</v>
      </c>
      <c r="R21" t="str">
        <f>VLOOKUP(A21,'Last Week'!A4:I397,7,FALSE)</f>
        <v>CLOSED</v>
      </c>
    </row>
    <row collapsed="false" customFormat="false" customHeight="true" hidden="false" ht="23.85" outlineLevel="0" r="22">
      <c r="A22" s="6" t="s">
        <v>79</v>
      </c>
      <c r="B22" s="6" t="s">
        <v>80</v>
      </c>
      <c r="C22" s="6"/>
      <c r="D22" s="6" t="s">
        <v>54</v>
      </c>
      <c r="E22" s="6" t="s">
        <v>81</v>
      </c>
      <c r="F22" s="6"/>
      <c r="G22" s="6" t="s">
        <v>14</v>
      </c>
      <c r="H22" s="7" t="n">
        <v>42899.5145534028</v>
      </c>
      <c r="I22" s="8" t="n">
        <v>42899.5145534028</v>
      </c>
      <c r="J22" s="7" t="n">
        <v>42898.4401928356</v>
      </c>
      <c r="K22" s="8" t="n">
        <v>42898.4401928356</v>
      </c>
      <c r="L22" s="6" t="s">
        <v>15</v>
      </c>
      <c r="M22" s="6"/>
      <c r="N22" s="6"/>
      <c r="O22" s="6"/>
      <c r="P22" s="6" t="s">
        <v>58</v>
      </c>
      <c r="Q22" s="0" t="n">
        <f>TODAY()-j22</f>
        <v>371.5598071643981</v>
      </c>
      <c r="R22" t="str">
        <f>VLOOKUP(A22,'Last Week'!A4:I397,7,FALSE)</f>
        <v>CLOSED</v>
      </c>
    </row>
    <row collapsed="false" customFormat="false" customHeight="true" hidden="false" ht="23.85" outlineLevel="0" r="23">
      <c r="A23" s="6" t="s">
        <v>82</v>
      </c>
      <c r="B23" s="6" t="s">
        <v>83</v>
      </c>
      <c r="C23" s="6"/>
      <c r="D23" s="6" t="s">
        <v>84</v>
      </c>
      <c r="E23" s="6" t="s">
        <v>16</v>
      </c>
      <c r="F23" s="6"/>
      <c r="G23" s="6" t="s">
        <v>85</v>
      </c>
      <c r="H23" s="7" t="n">
        <v>42902.6380265278</v>
      </c>
      <c r="I23" s="8" t="n">
        <v>42902.6380265278</v>
      </c>
      <c r="J23" s="7" t="n">
        <v>42898.4876343634</v>
      </c>
      <c r="K23" s="8" t="n">
        <v>42898.4876343634</v>
      </c>
      <c r="L23" s="6" t="s">
        <v>15</v>
      </c>
      <c r="M23" s="6"/>
      <c r="N23" s="6"/>
      <c r="O23" s="6"/>
      <c r="P23" s="6" t="s">
        <v>29</v>
      </c>
      <c r="Q23" s="0" t="n">
        <f>TODAY()-j23</f>
        <v>371.5123656365977</v>
      </c>
      <c r="R23" t="str">
        <f>VLOOKUP(A23,'Last Week'!A4:I397,7,FALSE)</f>
        <v>CANCELLED</v>
      </c>
    </row>
    <row collapsed="false" customFormat="false" customHeight="true" hidden="false" ht="35.05" outlineLevel="0" r="24">
      <c r="A24" s="6" t="s">
        <v>86</v>
      </c>
      <c r="B24" s="6" t="s">
        <v>87</v>
      </c>
      <c r="C24" s="6"/>
      <c r="D24" s="6" t="s">
        <v>88</v>
      </c>
      <c r="E24" s="6" t="s">
        <v>16</v>
      </c>
      <c r="F24" s="6"/>
      <c r="G24" s="6" t="s">
        <v>14</v>
      </c>
      <c r="H24" s="7" t="n">
        <v>42933.4786543634</v>
      </c>
      <c r="I24" s="8" t="n">
        <v>42933.4786543634</v>
      </c>
      <c r="J24" s="7" t="n">
        <v>42898.4924035532</v>
      </c>
      <c r="K24" s="8" t="n">
        <v>42898.4924035532</v>
      </c>
      <c r="L24" s="6" t="s">
        <v>15</v>
      </c>
      <c r="M24" s="6"/>
      <c r="N24" s="6"/>
      <c r="O24" s="6"/>
      <c r="P24" s="6" t="s">
        <v>16</v>
      </c>
      <c r="Q24" s="0" t="n">
        <f>TODAY()-j24</f>
        <v>371.50759644679783</v>
      </c>
      <c r="R24" t="str">
        <f>VLOOKUP(A24,'Last Week'!A4:I397,7,FALSE)</f>
        <v>CLOSED</v>
      </c>
    </row>
    <row collapsed="false" customFormat="false" customHeight="true" hidden="false" ht="35.05" outlineLevel="0" r="25">
      <c r="A25" s="6" t="s">
        <v>89</v>
      </c>
      <c r="B25" s="6" t="s">
        <v>87</v>
      </c>
      <c r="C25" s="6"/>
      <c r="D25" s="6" t="s">
        <v>88</v>
      </c>
      <c r="E25" s="6" t="s">
        <v>16</v>
      </c>
      <c r="F25" s="6"/>
      <c r="G25" s="6" t="s">
        <v>85</v>
      </c>
      <c r="H25" s="7" t="n">
        <v>42902.6531151968</v>
      </c>
      <c r="I25" s="8" t="n">
        <v>42902.6531151968</v>
      </c>
      <c r="J25" s="7" t="n">
        <v>42898.4992831482</v>
      </c>
      <c r="K25" s="8" t="n">
        <v>42898.4992831482</v>
      </c>
      <c r="L25" s="6" t="s">
        <v>15</v>
      </c>
      <c r="M25" s="6"/>
      <c r="N25" s="6"/>
      <c r="O25" s="6"/>
      <c r="P25" s="6" t="s">
        <v>29</v>
      </c>
      <c r="Q25" s="0" t="n">
        <f>TODAY()-j25</f>
        <v>371.50071685179864</v>
      </c>
      <c r="R25" t="str">
        <f>VLOOKUP(A25,'Last Week'!A4:I397,7,FALSE)</f>
        <v>CANCELLED</v>
      </c>
    </row>
    <row collapsed="false" customFormat="false" customHeight="true" hidden="false" ht="23.85" outlineLevel="0" r="26">
      <c r="A26" s="6" t="s">
        <v>90</v>
      </c>
      <c r="B26" s="6" t="s">
        <v>91</v>
      </c>
      <c r="C26" s="6"/>
      <c r="D26" s="6" t="s">
        <v>92</v>
      </c>
      <c r="E26" s="6" t="s">
        <v>93</v>
      </c>
      <c r="F26" s="6"/>
      <c r="G26" s="6" t="s">
        <v>14</v>
      </c>
      <c r="H26" s="7" t="n">
        <v>42898.5974044676</v>
      </c>
      <c r="I26" s="8" t="n">
        <v>42898.5974044676</v>
      </c>
      <c r="J26" s="7" t="n">
        <v>42898.5333932407</v>
      </c>
      <c r="K26" s="8" t="n">
        <v>42898.5333932407</v>
      </c>
      <c r="L26" s="6" t="s">
        <v>15</v>
      </c>
      <c r="M26" s="6"/>
      <c r="N26" s="6"/>
      <c r="O26" s="6"/>
      <c r="P26" s="6" t="s">
        <v>46</v>
      </c>
      <c r="Q26" s="0" t="n">
        <f>TODAY()-j26</f>
        <v>371.4666067592989</v>
      </c>
      <c r="R26" t="str">
        <f>VLOOKUP(A26,'Last Week'!A4:I397,7,FALSE)</f>
        <v>CLOSED</v>
      </c>
    </row>
    <row collapsed="false" customFormat="false" customHeight="true" hidden="false" ht="35.05" outlineLevel="0" r="27">
      <c r="A27" s="6" t="s">
        <v>94</v>
      </c>
      <c r="B27" s="6" t="s">
        <v>95</v>
      </c>
      <c r="C27" s="6"/>
      <c r="D27" s="6" t="s">
        <v>96</v>
      </c>
      <c r="E27" s="6" t="s">
        <v>96</v>
      </c>
      <c r="F27" s="6"/>
      <c r="G27" s="6" t="s">
        <v>14</v>
      </c>
      <c r="H27" s="7" t="n">
        <v>42899.5717687269</v>
      </c>
      <c r="I27" s="8" t="n">
        <v>42899.5717687269</v>
      </c>
      <c r="J27" s="7" t="n">
        <v>42898.6557099769</v>
      </c>
      <c r="K27" s="8" t="n">
        <v>42898.6557099769</v>
      </c>
      <c r="L27" s="6" t="s">
        <v>15</v>
      </c>
      <c r="M27" s="6"/>
      <c r="N27" s="6"/>
      <c r="O27" s="6"/>
      <c r="P27" s="6" t="s">
        <v>58</v>
      </c>
      <c r="Q27" s="0" t="n">
        <f>TODAY()-j27</f>
        <v>371.3442900231021</v>
      </c>
      <c r="R27" t="str">
        <f>VLOOKUP(A27,'Last Week'!A4:I397,7,FALSE)</f>
        <v>CLOSED</v>
      </c>
    </row>
    <row collapsed="false" customFormat="false" customHeight="true" hidden="false" ht="23.85" outlineLevel="0" r="28">
      <c r="A28" s="6" t="s">
        <v>97</v>
      </c>
      <c r="B28" s="6" t="s">
        <v>98</v>
      </c>
      <c r="C28" s="6"/>
      <c r="D28" s="6" t="s">
        <v>54</v>
      </c>
      <c r="E28" s="6" t="s">
        <v>81</v>
      </c>
      <c r="F28" s="6"/>
      <c r="G28" s="6" t="s">
        <v>14</v>
      </c>
      <c r="H28" s="7" t="n">
        <v>42899.5953940972</v>
      </c>
      <c r="I28" s="8" t="n">
        <v>42899.5953940972</v>
      </c>
      <c r="J28" s="7" t="n">
        <v>42898.7305568403</v>
      </c>
      <c r="K28" s="8" t="n">
        <v>42898.7305568403</v>
      </c>
      <c r="L28" s="6" t="s">
        <v>15</v>
      </c>
      <c r="M28" s="6"/>
      <c r="N28" s="6"/>
      <c r="O28" s="6"/>
      <c r="P28" s="6" t="s">
        <v>16</v>
      </c>
      <c r="Q28" s="0" t="n">
        <f>TODAY()-j28</f>
        <v>371.2694431596974</v>
      </c>
      <c r="R28" t="str">
        <f>VLOOKUP(A28,'Last Week'!A4:I397,7,FALSE)</f>
        <v>CLOSED</v>
      </c>
    </row>
    <row collapsed="false" customFormat="false" customHeight="true" hidden="false" ht="23.85" outlineLevel="0" r="29">
      <c r="A29" s="6" t="s">
        <v>99</v>
      </c>
      <c r="B29" s="6" t="s">
        <v>100</v>
      </c>
      <c r="C29" s="6"/>
      <c r="D29" s="6" t="s">
        <v>54</v>
      </c>
      <c r="E29" s="6" t="s">
        <v>81</v>
      </c>
      <c r="F29" s="6"/>
      <c r="G29" s="6" t="s">
        <v>14</v>
      </c>
      <c r="H29" s="7" t="n">
        <v>42905.4416840625</v>
      </c>
      <c r="I29" s="8" t="n">
        <v>42905.4416840625</v>
      </c>
      <c r="J29" s="7" t="n">
        <v>42898.7321348148</v>
      </c>
      <c r="K29" s="8" t="n">
        <v>42898.7321348148</v>
      </c>
      <c r="L29" s="6" t="s">
        <v>15</v>
      </c>
      <c r="M29" s="6"/>
      <c r="N29" s="6"/>
      <c r="O29" s="6"/>
      <c r="P29" s="6" t="s">
        <v>16</v>
      </c>
      <c r="Q29" s="0" t="n">
        <f>TODAY()-j29</f>
        <v>371.26786518519657</v>
      </c>
      <c r="R29" t="str">
        <f>VLOOKUP(A29,'Last Week'!A4:I397,7,FALSE)</f>
        <v>CLOSED</v>
      </c>
    </row>
    <row collapsed="false" customFormat="false" customHeight="true" hidden="false" ht="35.05" outlineLevel="0" r="30">
      <c r="A30" s="6" t="s">
        <v>101</v>
      </c>
      <c r="B30" s="6" t="s">
        <v>22</v>
      </c>
      <c r="C30" s="6"/>
      <c r="D30" s="6" t="s">
        <v>23</v>
      </c>
      <c r="E30" s="6" t="s">
        <v>102</v>
      </c>
      <c r="F30" s="6"/>
      <c r="G30" s="6" t="s">
        <v>14</v>
      </c>
      <c r="H30" s="7" t="n">
        <v>42905.7129309954</v>
      </c>
      <c r="I30" s="8" t="n">
        <v>42905.7129309954</v>
      </c>
      <c r="J30" s="7" t="n">
        <v>42899.6300111227</v>
      </c>
      <c r="K30" s="8" t="n">
        <v>42899.6300111227</v>
      </c>
      <c r="L30" s="6" t="s">
        <v>15</v>
      </c>
      <c r="M30" s="6"/>
      <c r="N30" s="6"/>
      <c r="O30" s="6"/>
      <c r="P30" s="6" t="s">
        <v>46</v>
      </c>
      <c r="Q30" s="0" t="n">
        <f>TODAY()-j30</f>
        <v>370.36998887729715</v>
      </c>
      <c r="R30" t="str">
        <f>VLOOKUP(A30,'Last Week'!A4:I397,7,FALSE)</f>
        <v>CLOSED</v>
      </c>
    </row>
    <row collapsed="false" customFormat="false" customHeight="true" hidden="false" ht="23.85" outlineLevel="0" r="31">
      <c r="A31" s="6" t="s">
        <v>103</v>
      </c>
      <c r="B31" s="6" t="s">
        <v>104</v>
      </c>
      <c r="C31" s="6"/>
      <c r="D31" s="6" t="s">
        <v>61</v>
      </c>
      <c r="E31" s="6" t="s">
        <v>81</v>
      </c>
      <c r="F31" s="6"/>
      <c r="G31" s="6" t="s">
        <v>14</v>
      </c>
      <c r="H31" s="7" t="n">
        <v>42901.4592201736</v>
      </c>
      <c r="I31" s="8" t="n">
        <v>42901.4592201736</v>
      </c>
      <c r="J31" s="7" t="n">
        <v>42900.7072950926</v>
      </c>
      <c r="K31" s="8" t="n">
        <v>42900.7072950926</v>
      </c>
      <c r="L31" s="6" t="s">
        <v>15</v>
      </c>
      <c r="M31" s="6"/>
      <c r="N31" s="6"/>
      <c r="O31" s="6"/>
      <c r="P31" s="6" t="s">
        <v>29</v>
      </c>
      <c r="Q31" s="0" t="n">
        <f>TODAY()-j31</f>
        <v>369.29270490739873</v>
      </c>
      <c r="R31" t="str">
        <f>VLOOKUP(A31,'Last Week'!A4:I397,7,FALSE)</f>
        <v>CLOSED</v>
      </c>
    </row>
    <row collapsed="false" customFormat="false" customHeight="true" hidden="false" ht="23.85" outlineLevel="0" r="32">
      <c r="A32" s="6" t="s">
        <v>105</v>
      </c>
      <c r="B32" s="6" t="s">
        <v>106</v>
      </c>
      <c r="C32" s="6"/>
      <c r="D32" s="6" t="s">
        <v>107</v>
      </c>
      <c r="E32" s="6" t="s">
        <v>108</v>
      </c>
      <c r="F32" s="6"/>
      <c r="G32" s="6" t="s">
        <v>85</v>
      </c>
      <c r="H32" s="7" t="n">
        <v>42919.7466891551</v>
      </c>
      <c r="I32" s="8" t="n">
        <v>42919.7466891551</v>
      </c>
      <c r="J32" s="7" t="n">
        <v>42902.3444632986</v>
      </c>
      <c r="K32" s="8" t="n">
        <v>42902.3444632986</v>
      </c>
      <c r="L32" s="6" t="s">
        <v>15</v>
      </c>
      <c r="M32" s="6"/>
      <c r="N32" s="6"/>
      <c r="O32" s="6"/>
      <c r="P32" s="6" t="s">
        <v>109</v>
      </c>
      <c r="Q32" s="0" t="n">
        <f>TODAY()-j32</f>
        <v>367.6555367014007</v>
      </c>
      <c r="R32" t="str">
        <f>VLOOKUP(A32,'Last Week'!A4:I397,7,FALSE)</f>
        <v>CANCELLED</v>
      </c>
    </row>
    <row collapsed="false" customFormat="false" customHeight="true" hidden="false" ht="23.85" outlineLevel="0" r="33">
      <c r="A33" s="6" t="s">
        <v>110</v>
      </c>
      <c r="B33" s="6" t="s">
        <v>111</v>
      </c>
      <c r="C33" s="6"/>
      <c r="D33" s="6" t="s">
        <v>112</v>
      </c>
      <c r="E33" s="6" t="s">
        <v>72</v>
      </c>
      <c r="F33" s="6"/>
      <c r="G33" s="6" t="s">
        <v>14</v>
      </c>
      <c r="H33" s="7" t="n">
        <v>42945.6005633449</v>
      </c>
      <c r="I33" s="8" t="n">
        <v>42945.6005633449</v>
      </c>
      <c r="J33" s="7" t="n">
        <v>42902.6737462616</v>
      </c>
      <c r="K33" s="8" t="n">
        <v>42902.6737462616</v>
      </c>
      <c r="L33" s="6" t="s">
        <v>15</v>
      </c>
      <c r="M33" s="6"/>
      <c r="N33" s="6"/>
      <c r="O33" s="6"/>
      <c r="P33" s="6" t="s">
        <v>46</v>
      </c>
      <c r="Q33" s="0" t="n">
        <f>TODAY()-j33</f>
        <v>367.3262537383998</v>
      </c>
      <c r="R33" t="str">
        <f>VLOOKUP(A33,'Last Week'!A4:I397,7,FALSE)</f>
        <v>CLOSED</v>
      </c>
    </row>
    <row collapsed="false" customFormat="false" customHeight="true" hidden="false" ht="23.85" outlineLevel="0" r="34">
      <c r="A34" s="6" t="s">
        <v>113</v>
      </c>
      <c r="B34" s="6" t="s">
        <v>114</v>
      </c>
      <c r="C34" s="6"/>
      <c r="D34" s="6" t="s">
        <v>88</v>
      </c>
      <c r="E34" s="6" t="s">
        <v>115</v>
      </c>
      <c r="F34" s="6"/>
      <c r="G34" s="6" t="s">
        <v>14</v>
      </c>
      <c r="H34" s="7" t="n">
        <v>42907.0849714583</v>
      </c>
      <c r="I34" s="8" t="n">
        <v>42907.0849714583</v>
      </c>
      <c r="J34" s="7" t="n">
        <v>42902.7364539005</v>
      </c>
      <c r="K34" s="8" t="n">
        <v>42902.7364539005</v>
      </c>
      <c r="L34" s="6" t="s">
        <v>15</v>
      </c>
      <c r="M34" s="6"/>
      <c r="N34" s="6"/>
      <c r="O34" s="6"/>
      <c r="P34" s="6" t="s">
        <v>29</v>
      </c>
      <c r="Q34" s="0" t="n">
        <f>TODAY()-j34</f>
        <v>367.2635460995007</v>
      </c>
      <c r="R34" t="str">
        <f>VLOOKUP(A34,'Last Week'!A4:I397,7,FALSE)</f>
        <v>CLOSED</v>
      </c>
    </row>
    <row collapsed="false" customFormat="false" customHeight="true" hidden="false" ht="23.85" outlineLevel="0" r="35">
      <c r="A35" s="6" t="s">
        <v>116</v>
      </c>
      <c r="B35" s="6" t="s">
        <v>117</v>
      </c>
      <c r="C35" s="6"/>
      <c r="D35" s="6" t="s">
        <v>118</v>
      </c>
      <c r="E35" s="6" t="s">
        <v>45</v>
      </c>
      <c r="F35" s="6"/>
      <c r="G35" s="6" t="s">
        <v>14</v>
      </c>
      <c r="H35" s="7" t="n">
        <v>42905.5917673843</v>
      </c>
      <c r="I35" s="8" t="n">
        <v>42905.5917673843</v>
      </c>
      <c r="J35" s="7" t="n">
        <v>42902.7438200116</v>
      </c>
      <c r="K35" s="8" t="n">
        <v>42902.7438200116</v>
      </c>
      <c r="L35" s="6" t="s">
        <v>15</v>
      </c>
      <c r="M35" s="6"/>
      <c r="N35" s="6"/>
      <c r="O35" s="6"/>
      <c r="P35" s="6" t="s">
        <v>58</v>
      </c>
      <c r="Q35" s="0" t="n">
        <f>TODAY()-j35</f>
        <v>367.2561799883988</v>
      </c>
      <c r="R35" t="str">
        <f>VLOOKUP(A35,'Last Week'!A4:I397,7,FALSE)</f>
        <v>CLOSED</v>
      </c>
    </row>
    <row collapsed="false" customFormat="false" customHeight="true" hidden="false" ht="46.25" outlineLevel="0" r="36">
      <c r="A36" s="6" t="s">
        <v>119</v>
      </c>
      <c r="B36" s="6" t="s">
        <v>120</v>
      </c>
      <c r="C36" s="6"/>
      <c r="D36" s="6" t="s">
        <v>121</v>
      </c>
      <c r="E36" s="6" t="s">
        <v>122</v>
      </c>
      <c r="F36" s="6"/>
      <c r="G36" s="6" t="s">
        <v>14</v>
      </c>
      <c r="H36" s="7" t="n">
        <v>42922.6388873727</v>
      </c>
      <c r="I36" s="8" t="n">
        <v>42922.6388873727</v>
      </c>
      <c r="J36" s="7" t="n">
        <v>42902.9725404514</v>
      </c>
      <c r="K36" s="8" t="n">
        <v>42902.9725404514</v>
      </c>
      <c r="L36" s="6" t="s">
        <v>15</v>
      </c>
      <c r="M36" s="6"/>
      <c r="N36" s="6"/>
      <c r="O36" s="6"/>
      <c r="P36" s="6" t="s">
        <v>29</v>
      </c>
      <c r="Q36" s="0" t="n">
        <f>TODAY()-j36</f>
        <v>367.0274595485971</v>
      </c>
      <c r="R36" t="str">
        <f>VLOOKUP(A36,'Last Week'!A4:I397,7,FALSE)</f>
        <v>CLOSED</v>
      </c>
    </row>
    <row collapsed="false" customFormat="false" customHeight="true" hidden="false" ht="23.85" outlineLevel="0" r="37">
      <c r="A37" s="6" t="s">
        <v>123</v>
      </c>
      <c r="B37" s="6" t="s">
        <v>124</v>
      </c>
      <c r="C37" s="6"/>
      <c r="D37" s="6" t="s">
        <v>125</v>
      </c>
      <c r="E37" s="6" t="s">
        <v>126</v>
      </c>
      <c r="F37" s="6"/>
      <c r="G37" s="6" t="s">
        <v>14</v>
      </c>
      <c r="H37" s="7" t="n">
        <v>42907.6083703357</v>
      </c>
      <c r="I37" s="8" t="n">
        <v>42907.6083703357</v>
      </c>
      <c r="J37" s="7" t="n">
        <v>42905.4454640278</v>
      </c>
      <c r="K37" s="8" t="n">
        <v>42905.4454640278</v>
      </c>
      <c r="L37" s="6" t="s">
        <v>15</v>
      </c>
      <c r="M37" s="6"/>
      <c r="N37" s="6"/>
      <c r="O37" s="6"/>
      <c r="P37" s="6" t="s">
        <v>29</v>
      </c>
      <c r="Q37" s="0" t="n">
        <f>TODAY()-j37</f>
        <v>364.55453597220185</v>
      </c>
      <c r="R37" t="str">
        <f>VLOOKUP(A37,'Last Week'!A4:I397,7,FALSE)</f>
        <v>CLOSED</v>
      </c>
    </row>
    <row collapsed="false" customFormat="false" customHeight="true" hidden="false" ht="23.85" outlineLevel="0" r="38">
      <c r="A38" s="6" t="s">
        <v>127</v>
      </c>
      <c r="B38" s="6" t="s">
        <v>124</v>
      </c>
      <c r="C38" s="6"/>
      <c r="D38" s="6" t="s">
        <v>125</v>
      </c>
      <c r="E38" s="6" t="s">
        <v>126</v>
      </c>
      <c r="F38" s="6"/>
      <c r="G38" s="6" t="s">
        <v>14</v>
      </c>
      <c r="H38" s="7" t="n">
        <v>42907.6087339699</v>
      </c>
      <c r="I38" s="8" t="n">
        <v>42907.6087339699</v>
      </c>
      <c r="J38" s="7" t="n">
        <v>42905.4873849653</v>
      </c>
      <c r="K38" s="8" t="n">
        <v>42905.4873849653</v>
      </c>
      <c r="L38" s="6" t="s">
        <v>15</v>
      </c>
      <c r="M38" s="6"/>
      <c r="N38" s="6"/>
      <c r="O38" s="6"/>
      <c r="P38" s="6" t="s">
        <v>29</v>
      </c>
      <c r="Q38" s="0" t="n">
        <f>TODAY()-j38</f>
        <v>364.5126150346987</v>
      </c>
      <c r="R38" t="str">
        <f>VLOOKUP(A38,'Last Week'!A4:I397,7,FALSE)</f>
        <v>CLOSED</v>
      </c>
    </row>
    <row collapsed="false" customFormat="false" customHeight="true" hidden="false" ht="23.85" outlineLevel="0" r="39">
      <c r="A39" s="6" t="s">
        <v>128</v>
      </c>
      <c r="B39" s="6" t="s">
        <v>129</v>
      </c>
      <c r="C39" s="6"/>
      <c r="D39" s="6" t="s">
        <v>130</v>
      </c>
      <c r="E39" s="6" t="s">
        <v>24</v>
      </c>
      <c r="F39" s="6"/>
      <c r="G39" s="6" t="s">
        <v>14</v>
      </c>
      <c r="H39" s="7" t="n">
        <v>42907.6004406482</v>
      </c>
      <c r="I39" s="8" t="n">
        <v>42907.6004406482</v>
      </c>
      <c r="J39" s="7" t="n">
        <v>42905.4967282176</v>
      </c>
      <c r="K39" s="8" t="n">
        <v>42905.4967282176</v>
      </c>
      <c r="L39" s="6" t="s">
        <v>15</v>
      </c>
      <c r="M39" s="6"/>
      <c r="N39" s="6"/>
      <c r="O39" s="6"/>
      <c r="P39" s="6" t="s">
        <v>29</v>
      </c>
      <c r="Q39" s="0" t="n">
        <f>TODAY()-j39</f>
        <v>364.5032717823997</v>
      </c>
      <c r="R39" t="str">
        <f>VLOOKUP(A39,'Last Week'!A4:I397,7,FALSE)</f>
        <v>CLOSED</v>
      </c>
    </row>
    <row collapsed="false" customFormat="false" customHeight="true" hidden="false" ht="23.85" outlineLevel="0" r="40">
      <c r="A40" s="6" t="s">
        <v>131</v>
      </c>
      <c r="B40" s="6" t="s">
        <v>132</v>
      </c>
      <c r="C40" s="6"/>
      <c r="D40" s="6" t="s">
        <v>40</v>
      </c>
      <c r="E40" s="6" t="s">
        <v>133</v>
      </c>
      <c r="F40" s="6"/>
      <c r="G40" s="6" t="s">
        <v>14</v>
      </c>
      <c r="H40" s="7" t="n">
        <v>42907.6025941204</v>
      </c>
      <c r="I40" s="8" t="n">
        <v>42907.6025941204</v>
      </c>
      <c r="J40" s="7" t="n">
        <v>42905.8870565972</v>
      </c>
      <c r="K40" s="8" t="n">
        <v>42905.8870565972</v>
      </c>
      <c r="L40" s="6" t="s">
        <v>15</v>
      </c>
      <c r="M40" s="6"/>
      <c r="N40" s="6"/>
      <c r="O40" s="6"/>
      <c r="P40" s="6" t="s">
        <v>29</v>
      </c>
      <c r="Q40" s="0" t="n">
        <f>TODAY()-j40</f>
        <v>364.1129434027971</v>
      </c>
      <c r="R40" t="str">
        <f>VLOOKUP(A40,'Last Week'!A4:I397,7,FALSE)</f>
        <v>CLOSED</v>
      </c>
    </row>
    <row collapsed="false" customFormat="false" customHeight="true" hidden="false" ht="23.85" outlineLevel="0" r="41">
      <c r="A41" s="6" t="s">
        <v>134</v>
      </c>
      <c r="B41" s="6" t="s">
        <v>135</v>
      </c>
      <c r="C41" s="6"/>
      <c r="D41" s="6" t="s">
        <v>136</v>
      </c>
      <c r="E41" s="6" t="s">
        <v>137</v>
      </c>
      <c r="F41" s="6"/>
      <c r="G41" s="6" t="s">
        <v>85</v>
      </c>
      <c r="H41" s="7" t="n">
        <v>43055.4259765394</v>
      </c>
      <c r="I41" s="8" t="n">
        <v>43055.4259765394</v>
      </c>
      <c r="J41" s="7" t="n">
        <v>42906.6758507755</v>
      </c>
      <c r="K41" s="8" t="n">
        <v>42906.6758507755</v>
      </c>
      <c r="L41" s="6" t="s">
        <v>15</v>
      </c>
      <c r="M41" s="6"/>
      <c r="N41" s="6"/>
      <c r="O41" s="6"/>
      <c r="P41" s="6" t="s">
        <v>16</v>
      </c>
      <c r="Q41" s="0" t="n">
        <f>TODAY()-j41</f>
        <v>363.3241492244997</v>
      </c>
      <c r="R41" t="str">
        <f>VLOOKUP(A41,'Last Week'!A4:I397,7,FALSE)</f>
        <v>CANCELLED</v>
      </c>
    </row>
    <row collapsed="false" customFormat="false" customHeight="true" hidden="false" ht="35.05" outlineLevel="0" r="42">
      <c r="A42" s="6" t="s">
        <v>138</v>
      </c>
      <c r="B42" s="6" t="s">
        <v>139</v>
      </c>
      <c r="C42" s="6"/>
      <c r="D42" s="6" t="s">
        <v>140</v>
      </c>
      <c r="E42" s="6" t="s">
        <v>122</v>
      </c>
      <c r="F42" s="6"/>
      <c r="G42" s="6" t="s">
        <v>14</v>
      </c>
      <c r="H42" s="7" t="n">
        <v>42909.2921225</v>
      </c>
      <c r="I42" s="8" t="n">
        <v>42909.2921225</v>
      </c>
      <c r="J42" s="7" t="n">
        <v>42906.6772510185</v>
      </c>
      <c r="K42" s="8" t="n">
        <v>42906.6772510185</v>
      </c>
      <c r="L42" s="6" t="s">
        <v>15</v>
      </c>
      <c r="M42" s="6"/>
      <c r="N42" s="6"/>
      <c r="O42" s="6"/>
      <c r="P42" s="6" t="s">
        <v>16</v>
      </c>
      <c r="Q42" s="0" t="n">
        <f>TODAY()-j42</f>
        <v>363.32274898150354</v>
      </c>
      <c r="R42" t="str">
        <f>VLOOKUP(A42,'Last Week'!A4:I397,7,FALSE)</f>
        <v>CLOSED</v>
      </c>
    </row>
    <row collapsed="false" customFormat="false" customHeight="true" hidden="false" ht="46.25" outlineLevel="0" r="43">
      <c r="A43" s="6" t="s">
        <v>141</v>
      </c>
      <c r="B43" s="6" t="s">
        <v>142</v>
      </c>
      <c r="C43" s="6"/>
      <c r="D43" s="6" t="s">
        <v>140</v>
      </c>
      <c r="E43" s="6" t="s">
        <v>122</v>
      </c>
      <c r="F43" s="6"/>
      <c r="G43" s="6" t="s">
        <v>14</v>
      </c>
      <c r="H43" s="7" t="n">
        <v>42907.6707240394</v>
      </c>
      <c r="I43" s="8" t="n">
        <v>42907.6707240394</v>
      </c>
      <c r="J43" s="7" t="n">
        <v>42906.9455422685</v>
      </c>
      <c r="K43" s="8" t="n">
        <v>42906.9455422685</v>
      </c>
      <c r="L43" s="6" t="s">
        <v>15</v>
      </c>
      <c r="M43" s="6"/>
      <c r="N43" s="6"/>
      <c r="O43" s="6"/>
      <c r="P43" s="6" t="s">
        <v>29</v>
      </c>
      <c r="Q43" s="0" t="n">
        <f>TODAY()-j43</f>
        <v>363.0544577315013</v>
      </c>
      <c r="R43" t="str">
        <f>VLOOKUP(A43,'Last Week'!A4:I397,7,FALSE)</f>
        <v>CLOSED</v>
      </c>
    </row>
    <row collapsed="false" customFormat="false" customHeight="true" hidden="false" ht="23.85" outlineLevel="0" r="44">
      <c r="A44" s="6" t="s">
        <v>143</v>
      </c>
      <c r="B44" s="6" t="s">
        <v>144</v>
      </c>
      <c r="C44" s="6"/>
      <c r="D44" s="6" t="s">
        <v>145</v>
      </c>
      <c r="E44" s="6" t="s">
        <v>108</v>
      </c>
      <c r="F44" s="6"/>
      <c r="G44" s="6" t="s">
        <v>14</v>
      </c>
      <c r="H44" s="7" t="n">
        <v>42921.5421058449</v>
      </c>
      <c r="I44" s="8" t="n">
        <v>42921.5421058449</v>
      </c>
      <c r="J44" s="7" t="n">
        <v>42907.372979757</v>
      </c>
      <c r="K44" s="8" t="n">
        <v>42907.372979757</v>
      </c>
      <c r="L44" s="6" t="s">
        <v>15</v>
      </c>
      <c r="M44" s="6"/>
      <c r="N44" s="6"/>
      <c r="O44" s="6"/>
      <c r="P44" s="6" t="s">
        <v>58</v>
      </c>
      <c r="Q44" s="0" t="n">
        <f>TODAY()-j44</f>
        <v>362.62702024300233</v>
      </c>
      <c r="R44" t="str">
        <f>VLOOKUP(A44,'Last Week'!A4:I397,7,FALSE)</f>
        <v>CLOSED</v>
      </c>
    </row>
    <row collapsed="false" customFormat="false" customHeight="true" hidden="false" ht="23.85" outlineLevel="0" r="45">
      <c r="A45" s="6" t="s">
        <v>146</v>
      </c>
      <c r="B45" s="6" t="s">
        <v>147</v>
      </c>
      <c r="C45" s="6"/>
      <c r="D45" s="6" t="s">
        <v>148</v>
      </c>
      <c r="E45" s="6" t="s">
        <v>72</v>
      </c>
      <c r="F45" s="6"/>
      <c r="G45" s="6" t="s">
        <v>14</v>
      </c>
      <c r="H45" s="7" t="n">
        <v>42908.6242202083</v>
      </c>
      <c r="I45" s="8" t="n">
        <v>42908.6242202083</v>
      </c>
      <c r="J45" s="7" t="n">
        <v>42907.5321448727</v>
      </c>
      <c r="K45" s="8" t="n">
        <v>42907.5321448727</v>
      </c>
      <c r="L45" s="6" t="s">
        <v>15</v>
      </c>
      <c r="M45" s="6"/>
      <c r="N45" s="6"/>
      <c r="O45" s="6"/>
      <c r="P45" s="6" t="s">
        <v>29</v>
      </c>
      <c r="Q45" s="0" t="n">
        <f>TODAY()-j45</f>
        <v>362.46785512730276</v>
      </c>
      <c r="R45" t="str">
        <f>VLOOKUP(A45,'Last Week'!A4:I397,7,FALSE)</f>
        <v>CLOSED</v>
      </c>
    </row>
    <row collapsed="false" customFormat="false" customHeight="true" hidden="false" ht="23.85" outlineLevel="0" r="46">
      <c r="A46" s="6" t="s">
        <v>149</v>
      </c>
      <c r="B46" s="6" t="s">
        <v>150</v>
      </c>
      <c r="C46" s="6"/>
      <c r="D46" s="6" t="s">
        <v>151</v>
      </c>
      <c r="E46" s="6" t="s">
        <v>109</v>
      </c>
      <c r="F46" s="6"/>
      <c r="G46" s="6" t="s">
        <v>14</v>
      </c>
      <c r="H46" s="7" t="n">
        <v>42911.4719198495</v>
      </c>
      <c r="I46" s="8" t="n">
        <v>42911.4719198495</v>
      </c>
      <c r="J46" s="7" t="n">
        <v>42907.6518111806</v>
      </c>
      <c r="K46" s="8" t="n">
        <v>42907.6518111806</v>
      </c>
      <c r="L46" s="6" t="s">
        <v>15</v>
      </c>
      <c r="M46" s="6"/>
      <c r="N46" s="6"/>
      <c r="O46" s="6"/>
      <c r="P46" s="6" t="s">
        <v>16</v>
      </c>
      <c r="Q46" s="0" t="n">
        <f>TODAY()-j46</f>
        <v>362.3481888194001</v>
      </c>
      <c r="R46" t="str">
        <f>VLOOKUP(A46,'Last Week'!A4:I397,7,FALSE)</f>
        <v>CLOSED</v>
      </c>
    </row>
    <row collapsed="false" customFormat="false" customHeight="true" hidden="false" ht="23.85" outlineLevel="0" r="47">
      <c r="A47" s="6" t="s">
        <v>152</v>
      </c>
      <c r="B47" s="6" t="s">
        <v>153</v>
      </c>
      <c r="C47" s="6"/>
      <c r="D47" s="6" t="s">
        <v>154</v>
      </c>
      <c r="E47" s="6" t="s">
        <v>28</v>
      </c>
      <c r="F47" s="6"/>
      <c r="G47" s="6" t="s">
        <v>14</v>
      </c>
      <c r="H47" s="7" t="n">
        <v>42918.3957873032</v>
      </c>
      <c r="I47" s="8" t="n">
        <v>42918.3957873032</v>
      </c>
      <c r="J47" s="7" t="n">
        <v>42907.7369756366</v>
      </c>
      <c r="K47" s="8" t="n">
        <v>42907.7369756366</v>
      </c>
      <c r="L47" s="6" t="s">
        <v>15</v>
      </c>
      <c r="M47" s="6"/>
      <c r="N47" s="6"/>
      <c r="O47" s="6"/>
      <c r="P47" s="6" t="s">
        <v>46</v>
      </c>
      <c r="Q47" s="0" t="n">
        <f>TODAY()-j47</f>
        <v>362.26302436339756</v>
      </c>
      <c r="R47" t="str">
        <f>VLOOKUP(A47,'Last Week'!A4:I397,7,FALSE)</f>
        <v>CLOSED</v>
      </c>
    </row>
    <row collapsed="false" customFormat="false" customHeight="true" hidden="false" ht="23.85" outlineLevel="0" r="48">
      <c r="A48" s="6" t="s">
        <v>155</v>
      </c>
      <c r="B48" s="6" t="s">
        <v>156</v>
      </c>
      <c r="C48" s="6"/>
      <c r="D48" s="6" t="s">
        <v>140</v>
      </c>
      <c r="E48" s="6" t="s">
        <v>72</v>
      </c>
      <c r="F48" s="6"/>
      <c r="G48" s="6" t="s">
        <v>14</v>
      </c>
      <c r="H48" s="7" t="n">
        <v>42914.0839920023</v>
      </c>
      <c r="I48" s="8" t="n">
        <v>42914.0839920023</v>
      </c>
      <c r="J48" s="7" t="n">
        <v>42908.4731283449</v>
      </c>
      <c r="K48" s="8" t="n">
        <v>42908.4731283449</v>
      </c>
      <c r="L48" s="6" t="s">
        <v>15</v>
      </c>
      <c r="M48" s="6"/>
      <c r="N48" s="6"/>
      <c r="O48" s="6"/>
      <c r="P48" s="6" t="s">
        <v>58</v>
      </c>
      <c r="Q48" s="0" t="n">
        <f>TODAY()-j48</f>
        <v>361.52687165509997</v>
      </c>
      <c r="R48" t="str">
        <f>VLOOKUP(A48,'Last Week'!A4:I397,7,FALSE)</f>
        <v>CLOSED</v>
      </c>
    </row>
    <row collapsed="false" customFormat="false" customHeight="true" hidden="false" ht="35.05" outlineLevel="0" r="49">
      <c r="A49" s="6" t="s">
        <v>157</v>
      </c>
      <c r="B49" s="6" t="s">
        <v>158</v>
      </c>
      <c r="C49" s="6"/>
      <c r="D49" s="6" t="s">
        <v>140</v>
      </c>
      <c r="E49" s="6" t="s">
        <v>72</v>
      </c>
      <c r="F49" s="6"/>
      <c r="G49" s="6" t="s">
        <v>14</v>
      </c>
      <c r="H49" s="7" t="n">
        <v>42911.7149796181</v>
      </c>
      <c r="I49" s="8" t="n">
        <v>42911.7149796181</v>
      </c>
      <c r="J49" s="7" t="n">
        <v>42908.4996737153</v>
      </c>
      <c r="K49" s="8" t="n">
        <v>42908.4996737153</v>
      </c>
      <c r="L49" s="6" t="s">
        <v>15</v>
      </c>
      <c r="M49" s="6"/>
      <c r="N49" s="6"/>
      <c r="O49" s="6"/>
      <c r="P49" s="6" t="s">
        <v>29</v>
      </c>
      <c r="Q49" s="0" t="n">
        <f>TODAY()-j49</f>
        <v>361.50032628470217</v>
      </c>
      <c r="R49" t="str">
        <f>VLOOKUP(A49,'Last Week'!A4:I397,7,FALSE)</f>
        <v>CLOSED</v>
      </c>
    </row>
    <row collapsed="false" customFormat="false" customHeight="true" hidden="false" ht="23.85" outlineLevel="0" r="50">
      <c r="A50" s="6" t="s">
        <v>159</v>
      </c>
      <c r="B50" s="6" t="s">
        <v>160</v>
      </c>
      <c r="C50" s="6"/>
      <c r="D50" s="6" t="s">
        <v>161</v>
      </c>
      <c r="E50" s="6" t="s">
        <v>108</v>
      </c>
      <c r="F50" s="6"/>
      <c r="G50" s="6" t="s">
        <v>14</v>
      </c>
      <c r="H50" s="7" t="n">
        <v>42916.6108801157</v>
      </c>
      <c r="I50" s="8" t="n">
        <v>42916.6108801157</v>
      </c>
      <c r="J50" s="7" t="n">
        <v>42908.5140878241</v>
      </c>
      <c r="K50" s="8" t="n">
        <v>42908.5140878241</v>
      </c>
      <c r="L50" s="6" t="s">
        <v>15</v>
      </c>
      <c r="M50" s="6"/>
      <c r="N50" s="6"/>
      <c r="O50" s="6"/>
      <c r="P50" s="6" t="s">
        <v>29</v>
      </c>
      <c r="Q50" s="0" t="n">
        <f>TODAY()-j50</f>
        <v>361.4859121759</v>
      </c>
      <c r="R50" t="str">
        <f>VLOOKUP(A50,'Last Week'!A4:I397,7,FALSE)</f>
        <v>CLOSED</v>
      </c>
    </row>
    <row collapsed="false" customFormat="false" customHeight="true" hidden="false" ht="23.85" outlineLevel="0" r="51">
      <c r="A51" s="6" t="s">
        <v>162</v>
      </c>
      <c r="B51" s="6" t="s">
        <v>163</v>
      </c>
      <c r="C51" s="6"/>
      <c r="D51" s="6" t="s">
        <v>164</v>
      </c>
      <c r="E51" s="6" t="s">
        <v>126</v>
      </c>
      <c r="F51" s="6"/>
      <c r="G51" s="6" t="s">
        <v>14</v>
      </c>
      <c r="H51" s="7" t="n">
        <v>42909.5269081366</v>
      </c>
      <c r="I51" s="8" t="n">
        <v>42909.5269081366</v>
      </c>
      <c r="J51" s="7" t="n">
        <v>42908.6332856713</v>
      </c>
      <c r="K51" s="8" t="n">
        <v>42908.6332856713</v>
      </c>
      <c r="L51" s="6" t="s">
        <v>15</v>
      </c>
      <c r="M51" s="6"/>
      <c r="N51" s="6"/>
      <c r="O51" s="6"/>
      <c r="P51" s="6" t="s">
        <v>29</v>
      </c>
      <c r="Q51" s="0" t="n">
        <f>TODAY()-j51</f>
        <v>361.3667143287021</v>
      </c>
      <c r="R51" t="str">
        <f>VLOOKUP(A51,'Last Week'!A4:I397,7,FALSE)</f>
        <v>CLOSED</v>
      </c>
    </row>
    <row collapsed="false" customFormat="false" customHeight="true" hidden="false" ht="23.85" outlineLevel="0" r="52">
      <c r="A52" s="6" t="s">
        <v>165</v>
      </c>
      <c r="B52" s="6" t="s">
        <v>166</v>
      </c>
      <c r="C52" s="6"/>
      <c r="D52" s="6" t="s">
        <v>96</v>
      </c>
      <c r="E52" s="6" t="s">
        <v>96</v>
      </c>
      <c r="F52" s="6"/>
      <c r="G52" s="6" t="s">
        <v>14</v>
      </c>
      <c r="H52" s="7" t="n">
        <v>42912.6316483102</v>
      </c>
      <c r="I52" s="8" t="n">
        <v>42912.6316483102</v>
      </c>
      <c r="J52" s="7" t="n">
        <v>42908.7364715394</v>
      </c>
      <c r="K52" s="8" t="n">
        <v>42908.7364715394</v>
      </c>
      <c r="L52" s="6" t="s">
        <v>15</v>
      </c>
      <c r="M52" s="6"/>
      <c r="N52" s="6"/>
      <c r="O52" s="6"/>
      <c r="P52" s="6" t="s">
        <v>46</v>
      </c>
      <c r="Q52" s="0" t="n">
        <f>TODAY()-j52</f>
        <v>361.26352846060036</v>
      </c>
      <c r="R52" t="str">
        <f>VLOOKUP(A52,'Last Week'!A4:I397,7,FALSE)</f>
        <v>CLOSED</v>
      </c>
    </row>
    <row collapsed="false" customFormat="false" customHeight="true" hidden="false" ht="23.85" outlineLevel="0" r="53">
      <c r="A53" s="6" t="s">
        <v>167</v>
      </c>
      <c r="B53" s="6" t="s">
        <v>168</v>
      </c>
      <c r="C53" s="6"/>
      <c r="D53" s="6" t="s">
        <v>169</v>
      </c>
      <c r="E53" s="6" t="s">
        <v>28</v>
      </c>
      <c r="F53" s="6"/>
      <c r="G53" s="6" t="s">
        <v>14</v>
      </c>
      <c r="H53" s="7" t="n">
        <v>42912.4018030671</v>
      </c>
      <c r="I53" s="8" t="n">
        <v>42912.4018030671</v>
      </c>
      <c r="J53" s="7" t="n">
        <v>42908.9212867593</v>
      </c>
      <c r="K53" s="8" t="n">
        <v>42908.9212867593</v>
      </c>
      <c r="L53" s="6" t="s">
        <v>15</v>
      </c>
      <c r="M53" s="6"/>
      <c r="N53" s="6"/>
      <c r="O53" s="6"/>
      <c r="P53" s="6" t="s">
        <v>29</v>
      </c>
      <c r="Q53" s="0" t="n">
        <f>TODAY()-j53</f>
        <v>361.07871324069856</v>
      </c>
      <c r="R53" t="str">
        <f>VLOOKUP(A53,'Last Week'!A4:I397,7,FALSE)</f>
        <v>CLOSED</v>
      </c>
    </row>
    <row collapsed="false" customFormat="false" customHeight="true" hidden="false" ht="23.85" outlineLevel="0" r="54">
      <c r="A54" s="6" t="s">
        <v>170</v>
      </c>
      <c r="B54" s="6" t="s">
        <v>171</v>
      </c>
      <c r="C54" s="6"/>
      <c r="D54" s="6" t="s">
        <v>140</v>
      </c>
      <c r="E54" s="6" t="s">
        <v>72</v>
      </c>
      <c r="F54" s="6"/>
      <c r="G54" s="6" t="s">
        <v>14</v>
      </c>
      <c r="H54" s="7" t="n">
        <v>42914.0843416435</v>
      </c>
      <c r="I54" s="8" t="n">
        <v>42914.0843416435</v>
      </c>
      <c r="J54" s="7" t="n">
        <v>42909.7131197454</v>
      </c>
      <c r="K54" s="8" t="n">
        <v>42909.7131197454</v>
      </c>
      <c r="L54" s="6" t="s">
        <v>15</v>
      </c>
      <c r="M54" s="6"/>
      <c r="N54" s="6"/>
      <c r="O54" s="6"/>
      <c r="P54" s="6" t="s">
        <v>29</v>
      </c>
      <c r="Q54" s="0" t="n">
        <f>TODAY()-j54</f>
        <v>360.28688025459996</v>
      </c>
      <c r="R54" t="str">
        <f>VLOOKUP(A54,'Last Week'!A4:I397,7,FALSE)</f>
        <v>CLOSED</v>
      </c>
    </row>
    <row collapsed="false" customFormat="false" customHeight="true" hidden="false" ht="35.05" outlineLevel="0" r="55">
      <c r="A55" s="6" t="s">
        <v>172</v>
      </c>
      <c r="B55" s="6" t="s">
        <v>173</v>
      </c>
      <c r="C55" s="6"/>
      <c r="D55" s="6" t="s">
        <v>174</v>
      </c>
      <c r="E55" s="6" t="s">
        <v>175</v>
      </c>
      <c r="F55" s="6"/>
      <c r="G55" s="6" t="s">
        <v>14</v>
      </c>
      <c r="H55" s="7" t="n">
        <v>42915.4858763773</v>
      </c>
      <c r="I55" s="8" t="n">
        <v>42915.4858763773</v>
      </c>
      <c r="J55" s="7" t="n">
        <v>42909.9384311574</v>
      </c>
      <c r="K55" s="8" t="n">
        <v>42909.9384311574</v>
      </c>
      <c r="L55" s="6" t="s">
        <v>15</v>
      </c>
      <c r="M55" s="6"/>
      <c r="N55" s="6"/>
      <c r="O55" s="6"/>
      <c r="P55" s="6" t="s">
        <v>29</v>
      </c>
      <c r="Q55" s="0" t="n">
        <f>TODAY()-j55</f>
        <v>360.0615688425969</v>
      </c>
      <c r="R55" t="str">
        <f>VLOOKUP(A55,'Last Week'!A4:I397,7,FALSE)</f>
        <v>CLOSED</v>
      </c>
    </row>
    <row collapsed="false" customFormat="false" customHeight="true" hidden="false" ht="23.85" outlineLevel="0" r="56">
      <c r="A56" s="6" t="s">
        <v>176</v>
      </c>
      <c r="B56" s="6" t="s">
        <v>177</v>
      </c>
      <c r="C56" s="6"/>
      <c r="D56" s="6" t="s">
        <v>88</v>
      </c>
      <c r="E56" s="6" t="s">
        <v>115</v>
      </c>
      <c r="F56" s="6"/>
      <c r="G56" s="6" t="s">
        <v>14</v>
      </c>
      <c r="H56" s="7" t="n">
        <v>42915.0845276157</v>
      </c>
      <c r="I56" s="8" t="n">
        <v>42915.0845276157</v>
      </c>
      <c r="J56" s="7" t="n">
        <v>42912.4939295139</v>
      </c>
      <c r="K56" s="8" t="n">
        <v>42912.4939295139</v>
      </c>
      <c r="L56" s="6" t="s">
        <v>15</v>
      </c>
      <c r="M56" s="6"/>
      <c r="N56" s="6"/>
      <c r="O56" s="6"/>
      <c r="P56" s="6" t="s">
        <v>58</v>
      </c>
      <c r="Q56" s="0" t="n">
        <f>TODAY()-j56</f>
        <v>357.50607048610254</v>
      </c>
      <c r="R56" t="str">
        <f>VLOOKUP(A56,'Last Week'!A4:I397,7,FALSE)</f>
        <v>CLOSED</v>
      </c>
    </row>
    <row collapsed="false" customFormat="false" customHeight="true" hidden="false" ht="35.05" outlineLevel="0" r="57">
      <c r="A57" s="6" t="s">
        <v>178</v>
      </c>
      <c r="B57" s="6" t="s">
        <v>179</v>
      </c>
      <c r="C57" s="6"/>
      <c r="D57" s="6" t="s">
        <v>125</v>
      </c>
      <c r="E57" s="6" t="s">
        <v>126</v>
      </c>
      <c r="F57" s="6"/>
      <c r="G57" s="6" t="s">
        <v>14</v>
      </c>
      <c r="H57" s="7" t="n">
        <v>42912.5317527199</v>
      </c>
      <c r="I57" s="8" t="n">
        <v>42912.5317527199</v>
      </c>
      <c r="J57" s="7" t="n">
        <v>42912.4954524306</v>
      </c>
      <c r="K57" s="8" t="n">
        <v>42912.4954524306</v>
      </c>
      <c r="L57" s="6" t="s">
        <v>15</v>
      </c>
      <c r="M57" s="6"/>
      <c r="N57" s="6"/>
      <c r="O57" s="6"/>
      <c r="P57" s="6" t="s">
        <v>29</v>
      </c>
      <c r="Q57" s="0" t="n">
        <f>TODAY()-j57</f>
        <v>357.5045475693987</v>
      </c>
      <c r="R57" t="str">
        <f>VLOOKUP(A57,'Last Week'!A4:I397,7,FALSE)</f>
        <v>CLOSED</v>
      </c>
    </row>
    <row collapsed="false" customFormat="false" customHeight="true" hidden="false" ht="23.85" outlineLevel="0" r="58">
      <c r="A58" s="6" t="s">
        <v>180</v>
      </c>
      <c r="B58" s="6" t="s">
        <v>181</v>
      </c>
      <c r="C58" s="6"/>
      <c r="D58" s="6" t="s">
        <v>182</v>
      </c>
      <c r="E58" s="6" t="s">
        <v>183</v>
      </c>
      <c r="F58" s="6"/>
      <c r="G58" s="6" t="s">
        <v>14</v>
      </c>
      <c r="H58" s="7" t="n">
        <v>42914.6809026968</v>
      </c>
      <c r="I58" s="8" t="n">
        <v>42914.6809026968</v>
      </c>
      <c r="J58" s="7" t="n">
        <v>42912.6598284144</v>
      </c>
      <c r="K58" s="8" t="n">
        <v>42912.6598284144</v>
      </c>
      <c r="L58" s="6" t="s">
        <v>15</v>
      </c>
      <c r="M58" s="6"/>
      <c r="N58" s="6"/>
      <c r="O58" s="6"/>
      <c r="P58" s="6" t="s">
        <v>29</v>
      </c>
      <c r="Q58" s="0" t="n">
        <f>TODAY()-j58</f>
        <v>357.34017158560164</v>
      </c>
      <c r="R58" t="str">
        <f>VLOOKUP(A58,'Last Week'!A4:I397,7,FALSE)</f>
        <v>CLOSED</v>
      </c>
    </row>
    <row collapsed="false" customFormat="false" customHeight="true" hidden="false" ht="23.85" outlineLevel="0" r="59">
      <c r="A59" s="6" t="s">
        <v>184</v>
      </c>
      <c r="B59" s="6" t="s">
        <v>185</v>
      </c>
      <c r="C59" s="6"/>
      <c r="D59" s="6" t="s">
        <v>186</v>
      </c>
      <c r="E59" s="6" t="s">
        <v>13</v>
      </c>
      <c r="F59" s="6"/>
      <c r="G59" s="6" t="s">
        <v>14</v>
      </c>
      <c r="H59" s="7" t="n">
        <v>42915.5887589352</v>
      </c>
      <c r="I59" s="8" t="n">
        <v>42915.5887589352</v>
      </c>
      <c r="J59" s="7" t="n">
        <v>42912.7248455324</v>
      </c>
      <c r="K59" s="8" t="n">
        <v>42912.7248455324</v>
      </c>
      <c r="L59" s="6" t="s">
        <v>15</v>
      </c>
      <c r="M59" s="6"/>
      <c r="N59" s="6"/>
      <c r="O59" s="6"/>
      <c r="P59" s="6" t="s">
        <v>29</v>
      </c>
      <c r="Q59" s="0" t="n">
        <f>TODAY()-j59</f>
        <v>357.27515446759935</v>
      </c>
      <c r="R59" t="str">
        <f>VLOOKUP(A59,'Last Week'!A4:I397,7,FALSE)</f>
        <v>CLOSED</v>
      </c>
    </row>
    <row collapsed="false" customFormat="false" customHeight="true" hidden="false" ht="35.05" outlineLevel="0" r="60">
      <c r="A60" s="6" t="s">
        <v>187</v>
      </c>
      <c r="B60" s="6" t="s">
        <v>188</v>
      </c>
      <c r="C60" s="6"/>
      <c r="D60" s="6" t="s">
        <v>61</v>
      </c>
      <c r="E60" s="6" t="s">
        <v>72</v>
      </c>
      <c r="F60" s="6"/>
      <c r="G60" s="6" t="s">
        <v>14</v>
      </c>
      <c r="H60" s="7" t="n">
        <v>42915.7169279514</v>
      </c>
      <c r="I60" s="8" t="n">
        <v>42915.7169279514</v>
      </c>
      <c r="J60" s="7" t="n">
        <v>42915.6483138079</v>
      </c>
      <c r="K60" s="8" t="n">
        <v>42915.6483138079</v>
      </c>
      <c r="L60" s="6" t="s">
        <v>15</v>
      </c>
      <c r="M60" s="6"/>
      <c r="N60" s="6"/>
      <c r="O60" s="6"/>
      <c r="P60" s="6" t="s">
        <v>29</v>
      </c>
      <c r="Q60" s="0" t="n">
        <f>TODAY()-j60</f>
        <v>354.3516861921016</v>
      </c>
      <c r="R60" t="str">
        <f>VLOOKUP(A60,'Last Week'!A4:I397,7,FALSE)</f>
        <v>CLOSED</v>
      </c>
    </row>
    <row collapsed="false" customFormat="false" customHeight="true" hidden="false" ht="23.85" outlineLevel="0" r="61">
      <c r="A61" s="6" t="s">
        <v>189</v>
      </c>
      <c r="B61" s="6" t="s">
        <v>190</v>
      </c>
      <c r="C61" s="6"/>
      <c r="D61" s="6" t="s">
        <v>140</v>
      </c>
      <c r="E61" s="6" t="s">
        <v>175</v>
      </c>
      <c r="F61" s="6"/>
      <c r="G61" s="6" t="s">
        <v>14</v>
      </c>
      <c r="H61" s="7" t="n">
        <v>42921.0845721644</v>
      </c>
      <c r="I61" s="8" t="n">
        <v>42921.0845721644</v>
      </c>
      <c r="J61" s="7" t="n">
        <v>42916.9759287963</v>
      </c>
      <c r="K61" s="8" t="n">
        <v>42916.9759287963</v>
      </c>
      <c r="L61" s="6" t="s">
        <v>15</v>
      </c>
      <c r="M61" s="6"/>
      <c r="N61" s="6"/>
      <c r="O61" s="6"/>
      <c r="P61" s="6" t="s">
        <v>58</v>
      </c>
      <c r="Q61" s="0" t="n">
        <f>TODAY()-j61</f>
        <v>353.02407120369753</v>
      </c>
      <c r="R61" t="str">
        <f>VLOOKUP(A61,'Last Week'!A4:I397,7,FALSE)</f>
        <v>CLOSED</v>
      </c>
    </row>
    <row collapsed="false" customFormat="false" customHeight="true" hidden="false" ht="23.85" outlineLevel="0" r="62">
      <c r="A62" s="6" t="s">
        <v>191</v>
      </c>
      <c r="B62" s="6" t="s">
        <v>192</v>
      </c>
      <c r="C62" s="6"/>
      <c r="D62" s="6" t="s">
        <v>193</v>
      </c>
      <c r="E62" s="6" t="s">
        <v>72</v>
      </c>
      <c r="F62" s="6"/>
      <c r="G62" s="6" t="s">
        <v>14</v>
      </c>
      <c r="H62" s="7" t="n">
        <v>42921.0846093866</v>
      </c>
      <c r="I62" s="8" t="n">
        <v>42921.0846093866</v>
      </c>
      <c r="J62" s="7" t="n">
        <v>42919.4009502315</v>
      </c>
      <c r="K62" s="8" t="n">
        <v>42919.4009502315</v>
      </c>
      <c r="L62" s="6" t="s">
        <v>15</v>
      </c>
      <c r="M62" s="6"/>
      <c r="N62" s="6"/>
      <c r="O62" s="6"/>
      <c r="P62" s="6" t="s">
        <v>29</v>
      </c>
      <c r="Q62" s="0" t="n">
        <f>TODAY()-j62</f>
        <v>350.59904976849793</v>
      </c>
      <c r="R62" t="str">
        <f>VLOOKUP(A62,'Last Week'!A4:I397,7,FALSE)</f>
        <v>CLOSED</v>
      </c>
    </row>
    <row collapsed="false" customFormat="false" customHeight="true" hidden="false" ht="23.85" outlineLevel="0" r="63">
      <c r="A63" s="6" t="s">
        <v>194</v>
      </c>
      <c r="B63" s="6" t="s">
        <v>195</v>
      </c>
      <c r="C63" s="6"/>
      <c r="D63" s="6" t="s">
        <v>54</v>
      </c>
      <c r="E63" s="6" t="s">
        <v>81</v>
      </c>
      <c r="F63" s="6"/>
      <c r="G63" s="6" t="s">
        <v>14</v>
      </c>
      <c r="H63" s="7" t="n">
        <v>42919.6061510532</v>
      </c>
      <c r="I63" s="8" t="n">
        <v>42919.6061510532</v>
      </c>
      <c r="J63" s="7" t="n">
        <v>42919.464950706</v>
      </c>
      <c r="K63" s="8" t="n">
        <v>42919.464950706</v>
      </c>
      <c r="L63" s="6" t="s">
        <v>15</v>
      </c>
      <c r="M63" s="6"/>
      <c r="N63" s="6"/>
      <c r="O63" s="6"/>
      <c r="P63" s="6" t="s">
        <v>46</v>
      </c>
      <c r="Q63" s="0" t="n">
        <f>TODAY()-j63</f>
        <v>350.5350492939979</v>
      </c>
      <c r="R63" t="str">
        <f>VLOOKUP(A63,'Last Week'!A4:I397,7,FALSE)</f>
        <v>CLOSED</v>
      </c>
    </row>
    <row collapsed="false" customFormat="false" customHeight="true" hidden="false" ht="23.85" outlineLevel="0" r="64">
      <c r="A64" s="6" t="s">
        <v>196</v>
      </c>
      <c r="B64" s="6" t="s">
        <v>197</v>
      </c>
      <c r="C64" s="6"/>
      <c r="D64" s="6" t="s">
        <v>54</v>
      </c>
      <c r="E64" s="6" t="s">
        <v>81</v>
      </c>
      <c r="F64" s="6"/>
      <c r="G64" s="6" t="s">
        <v>14</v>
      </c>
      <c r="H64" s="7" t="n">
        <v>42921.5004906019</v>
      </c>
      <c r="I64" s="8" t="n">
        <v>42921.5004906019</v>
      </c>
      <c r="J64" s="7" t="n">
        <v>42919.4673653009</v>
      </c>
      <c r="K64" s="8" t="n">
        <v>42919.4673653009</v>
      </c>
      <c r="L64" s="6" t="s">
        <v>15</v>
      </c>
      <c r="M64" s="6"/>
      <c r="N64" s="6"/>
      <c r="O64" s="6"/>
      <c r="P64" s="6" t="s">
        <v>58</v>
      </c>
      <c r="Q64" s="0" t="n">
        <f>TODAY()-j64</f>
        <v>350.5326346990987</v>
      </c>
      <c r="R64" t="str">
        <f>VLOOKUP(A64,'Last Week'!A4:I397,7,FALSE)</f>
        <v>CLOSED</v>
      </c>
    </row>
    <row collapsed="false" customFormat="false" customHeight="true" hidden="false" ht="23.85" outlineLevel="0" r="65">
      <c r="A65" s="6" t="s">
        <v>198</v>
      </c>
      <c r="B65" s="6" t="s">
        <v>199</v>
      </c>
      <c r="C65" s="6"/>
      <c r="D65" s="6" t="s">
        <v>200</v>
      </c>
      <c r="E65" s="6" t="s">
        <v>33</v>
      </c>
      <c r="F65" s="6"/>
      <c r="G65" s="6" t="s">
        <v>14</v>
      </c>
      <c r="H65" s="7" t="n">
        <v>42921.5838008449</v>
      </c>
      <c r="I65" s="8" t="n">
        <v>42921.5838008449</v>
      </c>
      <c r="J65" s="7" t="n">
        <v>42919.7179456829</v>
      </c>
      <c r="K65" s="8" t="n">
        <v>42919.7179456829</v>
      </c>
      <c r="L65" s="6" t="s">
        <v>15</v>
      </c>
      <c r="M65" s="6"/>
      <c r="N65" s="6"/>
      <c r="O65" s="6"/>
      <c r="P65" s="6" t="s">
        <v>58</v>
      </c>
      <c r="Q65" s="0" t="n">
        <f>TODAY()-j65</f>
        <v>350.2820543170965</v>
      </c>
      <c r="R65" t="str">
        <f>VLOOKUP(A65,'Last Week'!A4:I397,7,FALSE)</f>
        <v>CLOSED</v>
      </c>
    </row>
    <row collapsed="false" customFormat="false" customHeight="true" hidden="false" ht="23.85" outlineLevel="0" r="66">
      <c r="A66" s="6" t="s">
        <v>201</v>
      </c>
      <c r="B66" s="6" t="s">
        <v>202</v>
      </c>
      <c r="C66" s="6"/>
      <c r="D66" s="6" t="s">
        <v>54</v>
      </c>
      <c r="E66" s="6" t="s">
        <v>81</v>
      </c>
      <c r="F66" s="6"/>
      <c r="G66" s="6" t="s">
        <v>14</v>
      </c>
      <c r="H66" s="7" t="n">
        <v>42921.5005301273</v>
      </c>
      <c r="I66" s="8" t="n">
        <v>42921.5005301273</v>
      </c>
      <c r="J66" s="7" t="n">
        <v>42919.7204132639</v>
      </c>
      <c r="K66" s="8" t="n">
        <v>42919.7204132639</v>
      </c>
      <c r="L66" s="6" t="s">
        <v>15</v>
      </c>
      <c r="M66" s="6"/>
      <c r="N66" s="6"/>
      <c r="O66" s="6"/>
      <c r="P66" s="6" t="s">
        <v>58</v>
      </c>
      <c r="Q66" s="0" t="n">
        <f>TODAY()-j66</f>
        <v>350.2795867360983</v>
      </c>
      <c r="R66" t="str">
        <f>VLOOKUP(A66,'Last Week'!A4:I397,7,FALSE)</f>
        <v>CLOSED</v>
      </c>
    </row>
    <row collapsed="false" customFormat="false" customHeight="true" hidden="false" ht="23.85" outlineLevel="0" r="67">
      <c r="A67" s="6" t="s">
        <v>203</v>
      </c>
      <c r="B67" s="6" t="s">
        <v>204</v>
      </c>
      <c r="C67" s="6"/>
      <c r="D67" s="6" t="s">
        <v>107</v>
      </c>
      <c r="E67" s="6" t="s">
        <v>109</v>
      </c>
      <c r="F67" s="6"/>
      <c r="G67" s="6" t="s">
        <v>14</v>
      </c>
      <c r="H67" s="7" t="n">
        <v>42922.0845896065</v>
      </c>
      <c r="I67" s="8" t="n">
        <v>42922.0845896065</v>
      </c>
      <c r="J67" s="7" t="n">
        <v>42919.7209586806</v>
      </c>
      <c r="K67" s="8" t="n">
        <v>42919.7209586806</v>
      </c>
      <c r="L67" s="6" t="s">
        <v>15</v>
      </c>
      <c r="M67" s="6"/>
      <c r="N67" s="6"/>
      <c r="O67" s="6"/>
      <c r="P67" s="6" t="s">
        <v>58</v>
      </c>
      <c r="Q67" s="0" t="n">
        <f>TODAY()-j67</f>
        <v>350.2790413194016</v>
      </c>
      <c r="R67" t="str">
        <f>VLOOKUP(A67,'Last Week'!A4:I397,7,FALSE)</f>
        <v>CLOSED</v>
      </c>
    </row>
    <row collapsed="false" customFormat="false" customHeight="true" hidden="false" ht="23.85" outlineLevel="0" r="68">
      <c r="A68" s="6" t="s">
        <v>205</v>
      </c>
      <c r="B68" s="6" t="s">
        <v>206</v>
      </c>
      <c r="C68" s="6"/>
      <c r="D68" s="6" t="s">
        <v>207</v>
      </c>
      <c r="E68" s="6" t="s">
        <v>208</v>
      </c>
      <c r="F68" s="6"/>
      <c r="G68" s="6" t="s">
        <v>14</v>
      </c>
      <c r="H68" s="7" t="n">
        <v>42921.4889533912</v>
      </c>
      <c r="I68" s="8" t="n">
        <v>42921.4889533912</v>
      </c>
      <c r="J68" s="7" t="n">
        <v>42920.695838044</v>
      </c>
      <c r="K68" s="8" t="n">
        <v>42920.695838044</v>
      </c>
      <c r="L68" s="6" t="s">
        <v>15</v>
      </c>
      <c r="M68" s="6"/>
      <c r="N68" s="6"/>
      <c r="O68" s="6"/>
      <c r="P68" s="6" t="s">
        <v>29</v>
      </c>
      <c r="Q68" s="0" t="n">
        <f>TODAY()-j68</f>
        <v>349.30416195600264</v>
      </c>
      <c r="R68" t="str">
        <f>VLOOKUP(A68,'Last Week'!A4:I397,7,FALSE)</f>
        <v>CLOSED</v>
      </c>
    </row>
    <row collapsed="false" customFormat="false" customHeight="true" hidden="false" ht="23.85" outlineLevel="0" r="69">
      <c r="A69" s="6" t="s">
        <v>209</v>
      </c>
      <c r="B69" s="6" t="s">
        <v>210</v>
      </c>
      <c r="C69" s="6"/>
      <c r="D69" s="6" t="s">
        <v>154</v>
      </c>
      <c r="E69" s="6" t="s">
        <v>28</v>
      </c>
      <c r="F69" s="6"/>
      <c r="G69" s="6" t="s">
        <v>14</v>
      </c>
      <c r="H69" s="7" t="n">
        <v>42929.7306847106</v>
      </c>
      <c r="I69" s="8" t="n">
        <v>42929.7306847106</v>
      </c>
      <c r="J69" s="7" t="n">
        <v>42920.810438912</v>
      </c>
      <c r="K69" s="8" t="n">
        <v>42920.810438912</v>
      </c>
      <c r="L69" s="6" t="s">
        <v>15</v>
      </c>
      <c r="M69" s="6"/>
      <c r="N69" s="6"/>
      <c r="O69" s="6"/>
      <c r="P69" s="6" t="s">
        <v>46</v>
      </c>
      <c r="Q69" s="0" t="n">
        <f>TODAY()-j69</f>
        <v>349.18956108800194</v>
      </c>
      <c r="R69" t="str">
        <f>VLOOKUP(A69,'Last Week'!A4:I397,7,FALSE)</f>
        <v>CLOSED</v>
      </c>
    </row>
    <row collapsed="false" customFormat="false" customHeight="true" hidden="false" ht="35.05" outlineLevel="0" r="70">
      <c r="A70" s="6" t="s">
        <v>211</v>
      </c>
      <c r="B70" s="6" t="s">
        <v>212</v>
      </c>
      <c r="C70" s="6"/>
      <c r="D70" s="6" t="s">
        <v>61</v>
      </c>
      <c r="E70" s="6" t="s">
        <v>72</v>
      </c>
      <c r="F70" s="6"/>
      <c r="G70" s="6" t="s">
        <v>14</v>
      </c>
      <c r="H70" s="7" t="n">
        <v>42923.1254635185</v>
      </c>
      <c r="I70" s="8" t="n">
        <v>42923.1254635185</v>
      </c>
      <c r="J70" s="7" t="n">
        <v>42921.476019919</v>
      </c>
      <c r="K70" s="8" t="n">
        <v>42921.476019919</v>
      </c>
      <c r="L70" s="6" t="s">
        <v>15</v>
      </c>
      <c r="M70" s="6"/>
      <c r="N70" s="6"/>
      <c r="O70" s="6"/>
      <c r="P70" s="6" t="s">
        <v>46</v>
      </c>
      <c r="Q70" s="0" t="n">
        <f>TODAY()-j70</f>
        <v>348.52398008100135</v>
      </c>
      <c r="R70" t="str">
        <f>VLOOKUP(A70,'Last Week'!A4:I397,7,FALSE)</f>
        <v>CLOSED</v>
      </c>
    </row>
    <row collapsed="false" customFormat="false" customHeight="true" hidden="false" ht="23.85" outlineLevel="0" r="71">
      <c r="A71" s="6" t="s">
        <v>213</v>
      </c>
      <c r="B71" s="6" t="s">
        <v>214</v>
      </c>
      <c r="C71" s="6"/>
      <c r="D71" s="6" t="s">
        <v>164</v>
      </c>
      <c r="E71" s="6" t="s">
        <v>215</v>
      </c>
      <c r="F71" s="6"/>
      <c r="G71" s="6" t="s">
        <v>14</v>
      </c>
      <c r="H71" s="7" t="n">
        <v>42923.3755210301</v>
      </c>
      <c r="I71" s="8" t="n">
        <v>42923.3755210301</v>
      </c>
      <c r="J71" s="7" t="n">
        <v>42921.6231527662</v>
      </c>
      <c r="K71" s="8" t="n">
        <v>42921.6231527662</v>
      </c>
      <c r="L71" s="6" t="s">
        <v>15</v>
      </c>
      <c r="M71" s="6"/>
      <c r="N71" s="6"/>
      <c r="O71" s="6"/>
      <c r="P71" s="6" t="s">
        <v>58</v>
      </c>
      <c r="Q71" s="0" t="n">
        <f>TODAY()-j71</f>
        <v>348.3768472337979</v>
      </c>
      <c r="R71" t="str">
        <f>VLOOKUP(A71,'Last Week'!A4:I397,7,FALSE)</f>
        <v>CLOSED</v>
      </c>
    </row>
    <row collapsed="false" customFormat="false" customHeight="true" hidden="false" ht="35.05" outlineLevel="0" r="72">
      <c r="A72" s="6" t="s">
        <v>216</v>
      </c>
      <c r="B72" s="6" t="s">
        <v>217</v>
      </c>
      <c r="C72" s="6"/>
      <c r="D72" s="6" t="s">
        <v>218</v>
      </c>
      <c r="E72" s="6" t="s">
        <v>24</v>
      </c>
      <c r="F72" s="6"/>
      <c r="G72" s="6" t="s">
        <v>85</v>
      </c>
      <c r="H72" s="7" t="n">
        <v>43049.4088353588</v>
      </c>
      <c r="I72" s="8" t="n">
        <v>43049.4088353588</v>
      </c>
      <c r="J72" s="7" t="n">
        <v>42921.710419838</v>
      </c>
      <c r="K72" s="8" t="n">
        <v>42921.710419838</v>
      </c>
      <c r="L72" s="6" t="s">
        <v>15</v>
      </c>
      <c r="M72" s="6"/>
      <c r="N72" s="6"/>
      <c r="O72" s="6"/>
      <c r="P72" s="6" t="s">
        <v>16</v>
      </c>
      <c r="Q72" s="0" t="n">
        <f>TODAY()-j72</f>
        <v>348.2895801620034</v>
      </c>
      <c r="R72" t="str">
        <f>VLOOKUP(A72,'Last Week'!A4:I397,7,FALSE)</f>
        <v>CANCELLED</v>
      </c>
    </row>
    <row collapsed="false" customFormat="false" customHeight="true" hidden="false" ht="23.85" outlineLevel="0" r="73">
      <c r="A73" s="6" t="s">
        <v>219</v>
      </c>
      <c r="B73" s="6" t="s">
        <v>220</v>
      </c>
      <c r="C73" s="6"/>
      <c r="D73" s="6" t="s">
        <v>174</v>
      </c>
      <c r="E73" s="6" t="s">
        <v>24</v>
      </c>
      <c r="F73" s="6"/>
      <c r="G73" s="6" t="s">
        <v>14</v>
      </c>
      <c r="H73" s="7" t="n">
        <v>42929.4160802546</v>
      </c>
      <c r="I73" s="8" t="n">
        <v>42929.4160802546</v>
      </c>
      <c r="J73" s="7" t="n">
        <v>42923.5454521181</v>
      </c>
      <c r="K73" s="8" t="n">
        <v>42923.5454521181</v>
      </c>
      <c r="L73" s="6" t="s">
        <v>15</v>
      </c>
      <c r="M73" s="6"/>
      <c r="N73" s="6"/>
      <c r="O73" s="6"/>
      <c r="P73" s="6" t="s">
        <v>46</v>
      </c>
      <c r="Q73" s="0" t="n">
        <f>TODAY()-j73</f>
        <v>346.4545478818982</v>
      </c>
      <c r="R73" t="str">
        <f>VLOOKUP(A73,'Last Week'!A4:I397,7,FALSE)</f>
        <v>CLOSED</v>
      </c>
    </row>
    <row collapsed="false" customFormat="false" customHeight="true" hidden="false" ht="23.85" outlineLevel="0" r="74">
      <c r="A74" s="6" t="s">
        <v>221</v>
      </c>
      <c r="B74" s="6" t="s">
        <v>222</v>
      </c>
      <c r="C74" s="6"/>
      <c r="D74" s="6" t="s">
        <v>223</v>
      </c>
      <c r="E74" s="6" t="s">
        <v>41</v>
      </c>
      <c r="F74" s="6"/>
      <c r="G74" s="6" t="s">
        <v>14</v>
      </c>
      <c r="H74" s="7" t="n">
        <v>42927.7662939815</v>
      </c>
      <c r="I74" s="8" t="n">
        <v>42927.7662939815</v>
      </c>
      <c r="J74" s="7" t="n">
        <v>42923.7124407986</v>
      </c>
      <c r="K74" s="8" t="n">
        <v>42923.7124407986</v>
      </c>
      <c r="L74" s="6" t="s">
        <v>15</v>
      </c>
      <c r="M74" s="6"/>
      <c r="N74" s="6"/>
      <c r="O74" s="6"/>
      <c r="P74" s="6" t="s">
        <v>46</v>
      </c>
      <c r="Q74" s="0" t="n">
        <f>TODAY()-j74</f>
        <v>346.2875592014025</v>
      </c>
      <c r="R74" t="str">
        <f>VLOOKUP(A74,'Last Week'!A4:I397,7,FALSE)</f>
        <v>CLOSED</v>
      </c>
    </row>
    <row collapsed="false" customFormat="false" customHeight="true" hidden="false" ht="35.05" outlineLevel="0" r="75">
      <c r="A75" s="6" t="s">
        <v>224</v>
      </c>
      <c r="B75" s="6" t="s">
        <v>225</v>
      </c>
      <c r="C75" s="6"/>
      <c r="D75" s="6" t="s">
        <v>164</v>
      </c>
      <c r="E75" s="6" t="s">
        <v>215</v>
      </c>
      <c r="F75" s="6"/>
      <c r="G75" s="6" t="s">
        <v>14</v>
      </c>
      <c r="H75" s="7" t="n">
        <v>42930.0843623148</v>
      </c>
      <c r="I75" s="8" t="n">
        <v>42930.0843623148</v>
      </c>
      <c r="J75" s="7" t="n">
        <v>42926.5782820255</v>
      </c>
      <c r="K75" s="8" t="n">
        <v>42926.5782820255</v>
      </c>
      <c r="L75" s="6" t="s">
        <v>15</v>
      </c>
      <c r="M75" s="6"/>
      <c r="N75" s="6"/>
      <c r="O75" s="6"/>
      <c r="P75" s="6" t="s">
        <v>46</v>
      </c>
      <c r="Q75" s="0" t="n">
        <f>TODAY()-j75</f>
        <v>343.4217179745028</v>
      </c>
      <c r="R75" t="str">
        <f>VLOOKUP(A75,'Last Week'!A4:I397,7,FALSE)</f>
        <v>CLOSED</v>
      </c>
    </row>
    <row collapsed="false" customFormat="false" customHeight="true" hidden="false" ht="23.85" outlineLevel="0" r="76">
      <c r="A76" s="6" t="s">
        <v>226</v>
      </c>
      <c r="B76" s="6" t="s">
        <v>227</v>
      </c>
      <c r="C76" s="6"/>
      <c r="D76" s="6" t="s">
        <v>228</v>
      </c>
      <c r="E76" s="6" t="s">
        <v>229</v>
      </c>
      <c r="F76" s="6"/>
      <c r="G76" s="6" t="s">
        <v>14</v>
      </c>
      <c r="H76" s="7" t="n">
        <v>42930.4667978472</v>
      </c>
      <c r="I76" s="8" t="n">
        <v>42930.4667978472</v>
      </c>
      <c r="J76" s="7" t="n">
        <v>42926.9458308681</v>
      </c>
      <c r="K76" s="8" t="n">
        <v>42926.9458308681</v>
      </c>
      <c r="L76" s="6" t="s">
        <v>15</v>
      </c>
      <c r="M76" s="6"/>
      <c r="N76" s="6"/>
      <c r="O76" s="6"/>
      <c r="P76" s="6" t="s">
        <v>46</v>
      </c>
      <c r="Q76" s="0" t="n">
        <f>TODAY()-j76</f>
        <v>343.0541691319013</v>
      </c>
      <c r="R76" t="str">
        <f>VLOOKUP(A76,'Last Week'!A4:I397,7,FALSE)</f>
        <v>CLOSED</v>
      </c>
    </row>
    <row collapsed="false" customFormat="false" customHeight="true" hidden="false" ht="23.85" outlineLevel="0" r="77">
      <c r="A77" s="6" t="s">
        <v>230</v>
      </c>
      <c r="B77" s="6" t="s">
        <v>231</v>
      </c>
      <c r="C77" s="6"/>
      <c r="D77" s="6" t="s">
        <v>232</v>
      </c>
      <c r="E77" s="6" t="s">
        <v>115</v>
      </c>
      <c r="F77" s="6"/>
      <c r="G77" s="6" t="s">
        <v>14</v>
      </c>
      <c r="H77" s="7" t="n">
        <v>42927.53327625</v>
      </c>
      <c r="I77" s="8" t="n">
        <v>42927.53327625</v>
      </c>
      <c r="J77" s="7" t="n">
        <v>42927.469872963</v>
      </c>
      <c r="K77" s="8" t="n">
        <v>42927.469872963</v>
      </c>
      <c r="L77" s="6" t="s">
        <v>15</v>
      </c>
      <c r="M77" s="6"/>
      <c r="N77" s="6"/>
      <c r="O77" s="6"/>
      <c r="P77" s="6" t="s">
        <v>46</v>
      </c>
      <c r="Q77" s="0" t="n">
        <f>TODAY()-j77</f>
        <v>342.5301270369964</v>
      </c>
      <c r="R77" t="str">
        <f>VLOOKUP(A77,'Last Week'!A4:I397,7,FALSE)</f>
        <v>CLOSED</v>
      </c>
    </row>
    <row collapsed="false" customFormat="false" customHeight="true" hidden="false" ht="23.85" outlineLevel="0" r="78">
      <c r="A78" s="6" t="s">
        <v>233</v>
      </c>
      <c r="B78" s="6" t="s">
        <v>234</v>
      </c>
      <c r="C78" s="6"/>
      <c r="D78" s="6" t="s">
        <v>235</v>
      </c>
      <c r="E78" s="6" t="s">
        <v>33</v>
      </c>
      <c r="F78" s="6"/>
      <c r="G78" s="6" t="s">
        <v>14</v>
      </c>
      <c r="H78" s="7" t="n">
        <v>42930.0846141551</v>
      </c>
      <c r="I78" s="8" t="n">
        <v>42930.0846141551</v>
      </c>
      <c r="J78" s="7" t="n">
        <v>42927.6981807292</v>
      </c>
      <c r="K78" s="8" t="n">
        <v>42927.6981807292</v>
      </c>
      <c r="L78" s="6" t="s">
        <v>15</v>
      </c>
      <c r="M78" s="6"/>
      <c r="N78" s="6"/>
      <c r="O78" s="6"/>
      <c r="P78" s="6" t="s">
        <v>46</v>
      </c>
      <c r="Q78" s="0" t="n">
        <f>TODAY()-j78</f>
        <v>342.30181927079684</v>
      </c>
      <c r="R78" t="str">
        <f>VLOOKUP(A78,'Last Week'!A4:I397,7,FALSE)</f>
        <v>CLOSED</v>
      </c>
    </row>
    <row collapsed="false" customFormat="false" customHeight="true" hidden="false" ht="35.05" outlineLevel="0" r="79">
      <c r="A79" s="6" t="s">
        <v>236</v>
      </c>
      <c r="B79" s="6" t="s">
        <v>237</v>
      </c>
      <c r="C79" s="6"/>
      <c r="D79" s="6" t="s">
        <v>88</v>
      </c>
      <c r="E79" s="6" t="s">
        <v>81</v>
      </c>
      <c r="F79" s="6"/>
      <c r="G79" s="6" t="s">
        <v>14</v>
      </c>
      <c r="H79" s="7" t="n">
        <v>42936.1256416898</v>
      </c>
      <c r="I79" s="8" t="n">
        <v>42936.1256416898</v>
      </c>
      <c r="J79" s="7" t="n">
        <v>42927.7428479398</v>
      </c>
      <c r="K79" s="8" t="n">
        <v>42927.7428479398</v>
      </c>
      <c r="L79" s="6" t="s">
        <v>15</v>
      </c>
      <c r="M79" s="6"/>
      <c r="N79" s="6"/>
      <c r="O79" s="6"/>
      <c r="P79" s="6" t="s">
        <v>46</v>
      </c>
      <c r="Q79" s="0" t="n">
        <f>TODAY()-j79</f>
        <v>342.2571520601996</v>
      </c>
      <c r="R79" t="str">
        <f>VLOOKUP(A79,'Last Week'!A4:I397,7,FALSE)</f>
        <v>CLOSED</v>
      </c>
    </row>
    <row collapsed="false" customFormat="false" customHeight="true" hidden="false" ht="23.85" outlineLevel="0" r="80">
      <c r="A80" s="6" t="s">
        <v>238</v>
      </c>
      <c r="B80" s="6" t="s">
        <v>239</v>
      </c>
      <c r="C80" s="6"/>
      <c r="D80" s="6" t="s">
        <v>240</v>
      </c>
      <c r="E80" s="6" t="s">
        <v>241</v>
      </c>
      <c r="F80" s="6"/>
      <c r="G80" s="6" t="s">
        <v>14</v>
      </c>
      <c r="H80" s="7" t="n">
        <v>42931.0844454977</v>
      </c>
      <c r="I80" s="8" t="n">
        <v>42931.0844454977</v>
      </c>
      <c r="J80" s="7" t="n">
        <v>42928.5507479745</v>
      </c>
      <c r="K80" s="8" t="n">
        <v>42928.5507479745</v>
      </c>
      <c r="L80" s="6" t="s">
        <v>15</v>
      </c>
      <c r="M80" s="6"/>
      <c r="N80" s="6"/>
      <c r="O80" s="6"/>
      <c r="P80" s="6" t="s">
        <v>46</v>
      </c>
      <c r="Q80" s="0" t="n">
        <f>TODAY()-j80</f>
        <v>341.44925202550075</v>
      </c>
      <c r="R80" t="str">
        <f>VLOOKUP(A80,'Last Week'!A4:I397,7,FALSE)</f>
        <v>CLOSED</v>
      </c>
    </row>
    <row collapsed="false" customFormat="false" customHeight="true" hidden="false" ht="23.85" outlineLevel="0" r="81">
      <c r="A81" s="6" t="s">
        <v>242</v>
      </c>
      <c r="B81" s="6" t="s">
        <v>190</v>
      </c>
      <c r="C81" s="6"/>
      <c r="D81" s="6" t="s">
        <v>140</v>
      </c>
      <c r="E81" s="6" t="s">
        <v>72</v>
      </c>
      <c r="F81" s="6"/>
      <c r="G81" s="6" t="s">
        <v>14</v>
      </c>
      <c r="H81" s="7" t="n">
        <v>42931.0848729861</v>
      </c>
      <c r="I81" s="8" t="n">
        <v>42931.0848729861</v>
      </c>
      <c r="J81" s="7" t="n">
        <v>42929.5212310533</v>
      </c>
      <c r="K81" s="8" t="n">
        <v>42929.5212310533</v>
      </c>
      <c r="L81" s="6" t="s">
        <v>15</v>
      </c>
      <c r="M81" s="6"/>
      <c r="N81" s="6"/>
      <c r="O81" s="6"/>
      <c r="P81" s="6" t="s">
        <v>16</v>
      </c>
      <c r="Q81" s="0" t="n">
        <f>TODAY()-j81</f>
        <v>340.4787689466975</v>
      </c>
      <c r="R81" t="str">
        <f>VLOOKUP(A81,'Last Week'!A4:I397,7,FALSE)</f>
        <v>CLOSED</v>
      </c>
    </row>
    <row collapsed="false" customFormat="false" customHeight="true" hidden="false" ht="23.85" outlineLevel="0" r="82">
      <c r="A82" s="6" t="s">
        <v>243</v>
      </c>
      <c r="B82" s="6" t="s">
        <v>244</v>
      </c>
      <c r="C82" s="6"/>
      <c r="D82" s="6" t="s">
        <v>245</v>
      </c>
      <c r="E82" s="6" t="s">
        <v>20</v>
      </c>
      <c r="F82" s="6"/>
      <c r="G82" s="6" t="s">
        <v>14</v>
      </c>
      <c r="H82" s="7" t="n">
        <v>42935.6102158796</v>
      </c>
      <c r="I82" s="8" t="n">
        <v>42935.6102158796</v>
      </c>
      <c r="J82" s="7" t="n">
        <v>42929.5793664236</v>
      </c>
      <c r="K82" s="8" t="n">
        <v>42929.5793664236</v>
      </c>
      <c r="L82" s="6" t="s">
        <v>15</v>
      </c>
      <c r="M82" s="6"/>
      <c r="N82" s="6"/>
      <c r="O82" s="6"/>
      <c r="P82" s="6" t="s">
        <v>16</v>
      </c>
      <c r="Q82" s="0" t="n">
        <f>TODAY()-j82</f>
        <v>340.4206335764029</v>
      </c>
      <c r="R82" t="str">
        <f>VLOOKUP(A82,'Last Week'!A4:I397,7,FALSE)</f>
        <v>CLOSED</v>
      </c>
    </row>
    <row collapsed="false" customFormat="false" customHeight="true" hidden="false" ht="46.25" outlineLevel="0" r="83">
      <c r="A83" s="6" t="s">
        <v>246</v>
      </c>
      <c r="B83" s="6" t="s">
        <v>247</v>
      </c>
      <c r="C83" s="6"/>
      <c r="D83" s="6" t="s">
        <v>29</v>
      </c>
      <c r="E83" s="6" t="s">
        <v>28</v>
      </c>
      <c r="F83" s="6"/>
      <c r="G83" s="6" t="s">
        <v>14</v>
      </c>
      <c r="H83" s="7" t="n">
        <v>42932.9173044907</v>
      </c>
      <c r="I83" s="8" t="n">
        <v>42932.9173044907</v>
      </c>
      <c r="J83" s="7" t="n">
        <v>42929.8446177431</v>
      </c>
      <c r="K83" s="8" t="n">
        <v>42929.8446177431</v>
      </c>
      <c r="L83" s="6" t="s">
        <v>15</v>
      </c>
      <c r="M83" s="6"/>
      <c r="N83" s="6"/>
      <c r="O83" s="6"/>
      <c r="P83" s="6" t="s">
        <v>29</v>
      </c>
      <c r="Q83" s="0" t="n">
        <f>TODAY()-j83</f>
        <v>340.1553822568967</v>
      </c>
      <c r="R83" t="str">
        <f>VLOOKUP(A83,'Last Week'!A4:I397,7,FALSE)</f>
        <v>CLOSED</v>
      </c>
    </row>
    <row collapsed="false" customFormat="false" customHeight="true" hidden="false" ht="23.85" outlineLevel="0" r="84">
      <c r="A84" s="6" t="s">
        <v>248</v>
      </c>
      <c r="B84" s="6" t="s">
        <v>249</v>
      </c>
      <c r="C84" s="6"/>
      <c r="D84" s="6" t="s">
        <v>250</v>
      </c>
      <c r="E84" s="6" t="s">
        <v>72</v>
      </c>
      <c r="F84" s="6"/>
      <c r="G84" s="6" t="s">
        <v>14</v>
      </c>
      <c r="H84" s="7" t="n">
        <v>42933.6678690046</v>
      </c>
      <c r="I84" s="8" t="n">
        <v>42933.6678690046</v>
      </c>
      <c r="J84" s="7" t="n">
        <v>42930.470284294</v>
      </c>
      <c r="K84" s="8" t="n">
        <v>42930.470284294</v>
      </c>
      <c r="L84" s="6" t="s">
        <v>15</v>
      </c>
      <c r="M84" s="6"/>
      <c r="N84" s="6"/>
      <c r="O84" s="6"/>
      <c r="P84" s="6" t="s">
        <v>16</v>
      </c>
      <c r="Q84" s="0" t="n">
        <f>TODAY()-j84</f>
        <v>339.52971570599766</v>
      </c>
      <c r="R84" t="str">
        <f>VLOOKUP(A84,'Last Week'!A4:I397,7,FALSE)</f>
        <v>CLOSED</v>
      </c>
    </row>
    <row collapsed="false" customFormat="false" customHeight="true" hidden="false" ht="23.85" outlineLevel="0" r="85">
      <c r="A85" s="6" t="s">
        <v>251</v>
      </c>
      <c r="B85" s="6" t="s">
        <v>252</v>
      </c>
      <c r="C85" s="6"/>
      <c r="D85" s="6" t="s">
        <v>253</v>
      </c>
      <c r="E85" s="6" t="s">
        <v>24</v>
      </c>
      <c r="F85" s="6"/>
      <c r="G85" s="6" t="s">
        <v>14</v>
      </c>
      <c r="H85" s="7" t="n">
        <v>42935.2923459143</v>
      </c>
      <c r="I85" s="8" t="n">
        <v>42935.2923459143</v>
      </c>
      <c r="J85" s="7" t="n">
        <v>42933.5445446875</v>
      </c>
      <c r="K85" s="8" t="n">
        <v>42933.5445446875</v>
      </c>
      <c r="L85" s="6" t="s">
        <v>15</v>
      </c>
      <c r="M85" s="6"/>
      <c r="N85" s="6"/>
      <c r="O85" s="6"/>
      <c r="P85" s="6" t="s">
        <v>16</v>
      </c>
      <c r="Q85" s="0" t="n">
        <f>TODAY()-j85</f>
        <v>336.4554553124981</v>
      </c>
      <c r="R85" t="str">
        <f>VLOOKUP(A85,'Last Week'!A4:I397,7,FALSE)</f>
        <v>CLOSED</v>
      </c>
    </row>
    <row collapsed="false" customFormat="false" customHeight="true" hidden="false" ht="23.85" outlineLevel="0" r="86">
      <c r="A86" s="6" t="s">
        <v>254</v>
      </c>
      <c r="B86" s="6" t="s">
        <v>255</v>
      </c>
      <c r="C86" s="6"/>
      <c r="D86" s="6" t="s">
        <v>256</v>
      </c>
      <c r="E86" s="6" t="s">
        <v>137</v>
      </c>
      <c r="F86" s="6"/>
      <c r="G86" s="6" t="s">
        <v>14</v>
      </c>
      <c r="H86" s="7" t="n">
        <v>42937.7324127894</v>
      </c>
      <c r="I86" s="8" t="n">
        <v>42937.7324127894</v>
      </c>
      <c r="J86" s="7" t="n">
        <v>42933.7089353241</v>
      </c>
      <c r="K86" s="8" t="n">
        <v>42933.7089353241</v>
      </c>
      <c r="L86" s="6" t="s">
        <v>15</v>
      </c>
      <c r="M86" s="6"/>
      <c r="N86" s="6"/>
      <c r="O86" s="6"/>
      <c r="P86" s="6" t="s">
        <v>29</v>
      </c>
      <c r="Q86" s="0" t="n">
        <f>TODAY()-j86</f>
        <v>336.29106467589736</v>
      </c>
      <c r="R86" t="str">
        <f>VLOOKUP(A86,'Last Week'!A4:I397,7,FALSE)</f>
        <v>CLOSED</v>
      </c>
    </row>
    <row collapsed="false" customFormat="false" customHeight="true" hidden="false" ht="35.05" outlineLevel="0" r="87">
      <c r="A87" s="6" t="s">
        <v>257</v>
      </c>
      <c r="B87" s="6" t="s">
        <v>258</v>
      </c>
      <c r="C87" s="6"/>
      <c r="D87" s="6" t="s">
        <v>61</v>
      </c>
      <c r="E87" s="6" t="s">
        <v>175</v>
      </c>
      <c r="F87" s="6"/>
      <c r="G87" s="6" t="s">
        <v>14</v>
      </c>
      <c r="H87" s="7" t="n">
        <v>42949.0842308912</v>
      </c>
      <c r="I87" s="8" t="n">
        <v>42949.0842308912</v>
      </c>
      <c r="J87" s="7" t="n">
        <v>42934.9435381713</v>
      </c>
      <c r="K87" s="8" t="n">
        <v>42934.9435381713</v>
      </c>
      <c r="L87" s="6" t="s">
        <v>15</v>
      </c>
      <c r="M87" s="6"/>
      <c r="N87" s="6"/>
      <c r="O87" s="6"/>
      <c r="P87" s="6" t="s">
        <v>16</v>
      </c>
      <c r="Q87" s="0" t="n">
        <f>TODAY()-j87</f>
        <v>335.0564618287026</v>
      </c>
      <c r="R87" t="str">
        <f>VLOOKUP(A87,'Last Week'!A4:I397,7,FALSE)</f>
        <v>CLOSED</v>
      </c>
    </row>
    <row collapsed="false" customFormat="false" customHeight="true" hidden="false" ht="35.05" outlineLevel="0" r="88">
      <c r="A88" s="6" t="s">
        <v>259</v>
      </c>
      <c r="B88" s="6" t="s">
        <v>179</v>
      </c>
      <c r="C88" s="6"/>
      <c r="D88" s="6" t="s">
        <v>260</v>
      </c>
      <c r="E88" s="6" t="s">
        <v>126</v>
      </c>
      <c r="F88" s="6"/>
      <c r="G88" s="6" t="s">
        <v>14</v>
      </c>
      <c r="H88" s="7" t="n">
        <v>42935.6108894907</v>
      </c>
      <c r="I88" s="8" t="n">
        <v>42935.6108894907</v>
      </c>
      <c r="J88" s="7" t="n">
        <v>42935.3743845255</v>
      </c>
      <c r="K88" s="8" t="n">
        <v>42935.3743845255</v>
      </c>
      <c r="L88" s="6" t="s">
        <v>15</v>
      </c>
      <c r="M88" s="6"/>
      <c r="N88" s="6"/>
      <c r="O88" s="6"/>
      <c r="P88" s="6" t="s">
        <v>16</v>
      </c>
      <c r="Q88" s="0" t="n">
        <f>TODAY()-j88</f>
        <v>334.6256154744988</v>
      </c>
      <c r="R88" t="str">
        <f>VLOOKUP(A88,'Last Week'!A4:I397,7,FALSE)</f>
        <v>CLOSED</v>
      </c>
    </row>
    <row collapsed="false" customFormat="false" customHeight="true" hidden="false" ht="23.85" outlineLevel="0" r="89">
      <c r="A89" s="6" t="s">
        <v>261</v>
      </c>
      <c r="B89" s="6" t="s">
        <v>124</v>
      </c>
      <c r="C89" s="6"/>
      <c r="D89" s="6" t="s">
        <v>125</v>
      </c>
      <c r="E89" s="6" t="s">
        <v>126</v>
      </c>
      <c r="F89" s="6"/>
      <c r="G89" s="6" t="s">
        <v>14</v>
      </c>
      <c r="H89" s="7" t="n">
        <v>42937.0848876736</v>
      </c>
      <c r="I89" s="8" t="n">
        <v>42937.0848876736</v>
      </c>
      <c r="J89" s="7" t="n">
        <v>42935.4414632407</v>
      </c>
      <c r="K89" s="8" t="n">
        <v>42935.4414632407</v>
      </c>
      <c r="L89" s="6" t="s">
        <v>15</v>
      </c>
      <c r="M89" s="6"/>
      <c r="N89" s="6"/>
      <c r="O89" s="6"/>
      <c r="P89" s="6" t="s">
        <v>16</v>
      </c>
      <c r="Q89" s="0" t="n">
        <f>TODAY()-j89</f>
        <v>334.5585367593012</v>
      </c>
      <c r="R89" t="str">
        <f>VLOOKUP(A89,'Last Week'!A4:I397,7,FALSE)</f>
        <v>CLOSED</v>
      </c>
    </row>
    <row collapsed="false" customFormat="false" customHeight="true" hidden="false" ht="23.85" outlineLevel="0" r="90">
      <c r="A90" s="6" t="s">
        <v>262</v>
      </c>
      <c r="B90" s="6" t="s">
        <v>263</v>
      </c>
      <c r="C90" s="6"/>
      <c r="D90" s="6" t="s">
        <v>154</v>
      </c>
      <c r="E90" s="6" t="s">
        <v>28</v>
      </c>
      <c r="F90" s="6"/>
      <c r="G90" s="6" t="s">
        <v>14</v>
      </c>
      <c r="H90" s="7" t="n">
        <v>42942.0843916898</v>
      </c>
      <c r="I90" s="8" t="n">
        <v>42942.0843916898</v>
      </c>
      <c r="J90" s="7" t="n">
        <v>42935.8314512153</v>
      </c>
      <c r="K90" s="8" t="n">
        <v>42935.8314512153</v>
      </c>
      <c r="L90" s="6" t="s">
        <v>15</v>
      </c>
      <c r="M90" s="6"/>
      <c r="N90" s="6"/>
      <c r="O90" s="6"/>
      <c r="P90" s="6" t="s">
        <v>46</v>
      </c>
      <c r="Q90" s="0" t="n">
        <f>TODAY()-j90</f>
        <v>334.16854878469894</v>
      </c>
      <c r="R90" t="str">
        <f>VLOOKUP(A90,'Last Week'!A4:I397,7,FALSE)</f>
        <v>CLOSED</v>
      </c>
    </row>
    <row collapsed="false" customFormat="false" customHeight="true" hidden="false" ht="23.85" outlineLevel="0" r="91">
      <c r="A91" s="6" t="s">
        <v>264</v>
      </c>
      <c r="B91" s="6" t="s">
        <v>265</v>
      </c>
      <c r="C91" s="6"/>
      <c r="D91" s="6" t="s">
        <v>61</v>
      </c>
      <c r="E91" s="6" t="s">
        <v>72</v>
      </c>
      <c r="F91" s="6"/>
      <c r="G91" s="6" t="s">
        <v>14</v>
      </c>
      <c r="H91" s="7" t="n">
        <v>42937.5600636343</v>
      </c>
      <c r="I91" s="8" t="n">
        <v>42937.5600636343</v>
      </c>
      <c r="J91" s="7" t="n">
        <v>42936.444134294</v>
      </c>
      <c r="K91" s="8" t="n">
        <v>42936.444134294</v>
      </c>
      <c r="L91" s="6" t="s">
        <v>15</v>
      </c>
      <c r="M91" s="6"/>
      <c r="N91" s="6"/>
      <c r="O91" s="6"/>
      <c r="P91" s="6" t="s">
        <v>16</v>
      </c>
      <c r="Q91" s="0" t="n">
        <f>TODAY()-j91</f>
        <v>333.5558657060028</v>
      </c>
      <c r="R91" t="str">
        <f>VLOOKUP(A91,'Last Week'!A4:I397,7,FALSE)</f>
        <v>CLOSED</v>
      </c>
    </row>
    <row collapsed="false" customFormat="false" customHeight="true" hidden="false" ht="35.05" outlineLevel="0" r="92">
      <c r="A92" s="6" t="s">
        <v>266</v>
      </c>
      <c r="B92" s="6" t="s">
        <v>267</v>
      </c>
      <c r="C92" s="6"/>
      <c r="D92" s="6" t="s">
        <v>61</v>
      </c>
      <c r="E92" s="6" t="s">
        <v>72</v>
      </c>
      <c r="F92" s="6"/>
      <c r="G92" s="6" t="s">
        <v>14</v>
      </c>
      <c r="H92" s="7" t="n">
        <v>42940.5006621875</v>
      </c>
      <c r="I92" s="8" t="n">
        <v>42940.5006621875</v>
      </c>
      <c r="J92" s="7" t="n">
        <v>42937.7327000347</v>
      </c>
      <c r="K92" s="8" t="n">
        <v>42937.7327000347</v>
      </c>
      <c r="L92" s="6" t="s">
        <v>15</v>
      </c>
      <c r="M92" s="6"/>
      <c r="N92" s="6"/>
      <c r="O92" s="6"/>
      <c r="P92" s="6" t="s">
        <v>16</v>
      </c>
      <c r="Q92" s="0" t="n">
        <f>TODAY()-j92</f>
        <v>332.2672999653005</v>
      </c>
      <c r="R92" t="str">
        <f>VLOOKUP(A92,'Last Week'!A4:I397,7,FALSE)</f>
        <v>CLOSED</v>
      </c>
    </row>
    <row collapsed="false" customFormat="false" customHeight="true" hidden="false" ht="23.85" outlineLevel="0" r="93">
      <c r="A93" s="6" t="s">
        <v>268</v>
      </c>
      <c r="B93" s="6" t="s">
        <v>269</v>
      </c>
      <c r="C93" s="6"/>
      <c r="D93" s="6" t="s">
        <v>228</v>
      </c>
      <c r="E93" s="6" t="s">
        <v>229</v>
      </c>
      <c r="F93" s="6"/>
      <c r="G93" s="6" t="s">
        <v>14</v>
      </c>
      <c r="H93" s="7" t="n">
        <v>42945.0843503125</v>
      </c>
      <c r="I93" s="8" t="n">
        <v>42945.0843503125</v>
      </c>
      <c r="J93" s="7" t="n">
        <v>42937.8699369213</v>
      </c>
      <c r="K93" s="8" t="n">
        <v>42937.8699369213</v>
      </c>
      <c r="L93" s="6" t="s">
        <v>15</v>
      </c>
      <c r="M93" s="6"/>
      <c r="N93" s="6"/>
      <c r="O93" s="6"/>
      <c r="P93" s="6" t="s">
        <v>16</v>
      </c>
      <c r="Q93" s="0" t="n">
        <f>TODAY()-j93</f>
        <v>332.1300630787009</v>
      </c>
      <c r="R93" t="str">
        <f>VLOOKUP(A93,'Last Week'!A4:I397,7,FALSE)</f>
        <v>CLOSED</v>
      </c>
    </row>
    <row collapsed="false" customFormat="false" customHeight="true" hidden="false" ht="23.85" outlineLevel="0" r="94">
      <c r="A94" s="6" t="s">
        <v>270</v>
      </c>
      <c r="B94" s="6" t="s">
        <v>271</v>
      </c>
      <c r="C94" s="6"/>
      <c r="D94" s="6" t="s">
        <v>140</v>
      </c>
      <c r="E94" s="6" t="s">
        <v>175</v>
      </c>
      <c r="F94" s="6"/>
      <c r="G94" s="6" t="s">
        <v>14</v>
      </c>
      <c r="H94" s="7" t="n">
        <v>42942.0846992593</v>
      </c>
      <c r="I94" s="8" t="n">
        <v>42942.0846992593</v>
      </c>
      <c r="J94" s="7" t="n">
        <v>42937.9452086343</v>
      </c>
      <c r="K94" s="8" t="n">
        <v>42937.9452086343</v>
      </c>
      <c r="L94" s="6" t="s">
        <v>15</v>
      </c>
      <c r="M94" s="6"/>
      <c r="N94" s="6"/>
      <c r="O94" s="6"/>
      <c r="P94" s="6" t="s">
        <v>16</v>
      </c>
      <c r="Q94" s="0" t="n">
        <f>TODAY()-j94</f>
        <v>332.0547913656992</v>
      </c>
      <c r="R94" t="str">
        <f>VLOOKUP(A94,'Last Week'!A4:I397,7,FALSE)</f>
        <v>CLOSED</v>
      </c>
    </row>
    <row collapsed="false" customFormat="false" customHeight="true" hidden="false" ht="46.25" outlineLevel="0" r="95">
      <c r="A95" s="6" t="s">
        <v>272</v>
      </c>
      <c r="B95" s="6" t="s">
        <v>273</v>
      </c>
      <c r="C95" s="6"/>
      <c r="D95" s="6" t="s">
        <v>96</v>
      </c>
      <c r="E95" s="6" t="s">
        <v>96</v>
      </c>
      <c r="F95" s="6"/>
      <c r="G95" s="6" t="s">
        <v>14</v>
      </c>
      <c r="H95" s="7" t="n">
        <v>42944.5409607755</v>
      </c>
      <c r="I95" s="8" t="n">
        <v>42944.5409607755</v>
      </c>
      <c r="J95" s="7" t="n">
        <v>42940.4449396412</v>
      </c>
      <c r="K95" s="8" t="n">
        <v>42940.4449396412</v>
      </c>
      <c r="L95" s="6" t="s">
        <v>15</v>
      </c>
      <c r="M95" s="6"/>
      <c r="N95" s="6"/>
      <c r="O95" s="6"/>
      <c r="P95" s="6" t="s">
        <v>46</v>
      </c>
      <c r="Q95" s="0" t="n">
        <f>TODAY()-j95</f>
        <v>329.5550603587981</v>
      </c>
      <c r="R95" t="str">
        <f>VLOOKUP(A95,'Last Week'!A4:I397,7,FALSE)</f>
        <v>CLOSED</v>
      </c>
    </row>
    <row collapsed="false" customFormat="false" customHeight="true" hidden="false" ht="23.85" outlineLevel="0" r="96">
      <c r="A96" s="6" t="s">
        <v>274</v>
      </c>
      <c r="B96" s="6" t="s">
        <v>275</v>
      </c>
      <c r="C96" s="6"/>
      <c r="D96" s="6" t="s">
        <v>276</v>
      </c>
      <c r="E96" s="6" t="s">
        <v>277</v>
      </c>
      <c r="F96" s="6"/>
      <c r="G96" s="6" t="s">
        <v>14</v>
      </c>
      <c r="H96" s="7" t="n">
        <v>42943.5431655903</v>
      </c>
      <c r="I96" s="8" t="n">
        <v>42943.5431655903</v>
      </c>
      <c r="J96" s="7" t="n">
        <v>42940.4733572222</v>
      </c>
      <c r="K96" s="8" t="n">
        <v>42940.4733572222</v>
      </c>
      <c r="L96" s="6" t="s">
        <v>15</v>
      </c>
      <c r="M96" s="6"/>
      <c r="N96" s="6"/>
      <c r="O96" s="6"/>
      <c r="P96" s="6" t="s">
        <v>16</v>
      </c>
      <c r="Q96" s="0" t="n">
        <f>TODAY()-j96</f>
        <v>329.52664277779695</v>
      </c>
      <c r="R96" t="str">
        <f>VLOOKUP(A96,'Last Week'!A4:I397,7,FALSE)</f>
        <v>CLOSED</v>
      </c>
    </row>
    <row collapsed="false" customFormat="false" customHeight="true" hidden="false" ht="23.85" outlineLevel="0" r="97">
      <c r="A97" s="6" t="s">
        <v>278</v>
      </c>
      <c r="B97" s="6" t="s">
        <v>279</v>
      </c>
      <c r="C97" s="6"/>
      <c r="D97" s="6" t="s">
        <v>280</v>
      </c>
      <c r="E97" s="6" t="s">
        <v>281</v>
      </c>
      <c r="F97" s="6"/>
      <c r="G97" s="6" t="s">
        <v>14</v>
      </c>
      <c r="H97" s="7" t="n">
        <v>42943.711655544</v>
      </c>
      <c r="I97" s="8" t="n">
        <v>42943.711655544</v>
      </c>
      <c r="J97" s="7" t="n">
        <v>42940.5475249884</v>
      </c>
      <c r="K97" s="8" t="n">
        <v>42940.5475249884</v>
      </c>
      <c r="L97" s="6" t="s">
        <v>15</v>
      </c>
      <c r="M97" s="6"/>
      <c r="N97" s="6"/>
      <c r="O97" s="6"/>
      <c r="P97" s="6" t="s">
        <v>16</v>
      </c>
      <c r="Q97" s="0" t="n">
        <f>TODAY()-j97</f>
        <v>329.4524750116034</v>
      </c>
      <c r="R97" t="str">
        <f>VLOOKUP(A97,'Last Week'!A4:I397,7,FALSE)</f>
        <v>CLOSED</v>
      </c>
    </row>
    <row collapsed="false" customFormat="false" customHeight="true" hidden="false" ht="23.85" outlineLevel="0" r="98">
      <c r="A98" s="6" t="s">
        <v>282</v>
      </c>
      <c r="B98" s="6" t="s">
        <v>283</v>
      </c>
      <c r="C98" s="6"/>
      <c r="D98" s="6" t="s">
        <v>284</v>
      </c>
      <c r="E98" s="6" t="s">
        <v>55</v>
      </c>
      <c r="F98" s="6"/>
      <c r="G98" s="6" t="s">
        <v>14</v>
      </c>
      <c r="H98" s="7" t="n">
        <v>42945.3783433102</v>
      </c>
      <c r="I98" s="8" t="n">
        <v>42945.3783433102</v>
      </c>
      <c r="J98" s="7" t="n">
        <v>42941.6469496875</v>
      </c>
      <c r="K98" s="8" t="n">
        <v>42941.6469496875</v>
      </c>
      <c r="L98" s="6" t="s">
        <v>15</v>
      </c>
      <c r="M98" s="6"/>
      <c r="N98" s="6"/>
      <c r="O98" s="6"/>
      <c r="P98" s="6" t="s">
        <v>58</v>
      </c>
      <c r="Q98" s="0" t="n">
        <f>TODAY()-j98</f>
        <v>328.3530503125003</v>
      </c>
      <c r="R98" t="str">
        <f>VLOOKUP(A98,'Last Week'!A4:I397,7,FALSE)</f>
        <v>CLOSED</v>
      </c>
    </row>
    <row collapsed="false" customFormat="false" customHeight="true" hidden="false" ht="23.85" outlineLevel="0" r="99">
      <c r="A99" s="6" t="s">
        <v>285</v>
      </c>
      <c r="B99" s="6" t="s">
        <v>286</v>
      </c>
      <c r="C99" s="6"/>
      <c r="D99" s="6" t="s">
        <v>287</v>
      </c>
      <c r="E99" s="6" t="s">
        <v>72</v>
      </c>
      <c r="F99" s="6"/>
      <c r="G99" s="6" t="s">
        <v>14</v>
      </c>
      <c r="H99" s="7" t="n">
        <v>42942.3840230787</v>
      </c>
      <c r="I99" s="8" t="n">
        <v>42942.3840230787</v>
      </c>
      <c r="J99" s="7" t="n">
        <v>42941.6722782523</v>
      </c>
      <c r="K99" s="8" t="n">
        <v>42941.6722782523</v>
      </c>
      <c r="L99" s="6" t="s">
        <v>15</v>
      </c>
      <c r="M99" s="6"/>
      <c r="N99" s="6"/>
      <c r="O99" s="6"/>
      <c r="P99" s="6" t="s">
        <v>46</v>
      </c>
      <c r="Q99" s="0" t="n">
        <f>TODAY()-j99</f>
        <v>328.3277217477007</v>
      </c>
      <c r="R99" t="str">
        <f>VLOOKUP(A99,'Last Week'!A4:I397,7,FALSE)</f>
        <v>CLOSED</v>
      </c>
    </row>
    <row collapsed="false" customFormat="false" customHeight="true" hidden="false" ht="23.85" outlineLevel="0" r="100">
      <c r="A100" s="6" t="s">
        <v>288</v>
      </c>
      <c r="B100" s="6" t="s">
        <v>289</v>
      </c>
      <c r="C100" s="6"/>
      <c r="D100" s="6" t="s">
        <v>290</v>
      </c>
      <c r="E100" s="6" t="s">
        <v>208</v>
      </c>
      <c r="F100" s="6"/>
      <c r="G100" s="6" t="s">
        <v>14</v>
      </c>
      <c r="H100" s="7" t="n">
        <v>42943.4827519676</v>
      </c>
      <c r="I100" s="8" t="n">
        <v>42943.4827519676</v>
      </c>
      <c r="J100" s="7" t="n">
        <v>42941.6801021759</v>
      </c>
      <c r="K100" s="8" t="n">
        <v>42941.6801021759</v>
      </c>
      <c r="L100" s="6" t="s">
        <v>15</v>
      </c>
      <c r="M100" s="6"/>
      <c r="N100" s="6"/>
      <c r="O100" s="6"/>
      <c r="P100" s="6" t="s">
        <v>29</v>
      </c>
      <c r="Q100" s="0" t="n">
        <f>TODAY()-j100</f>
        <v>328.319897824098</v>
      </c>
      <c r="R100" t="str">
        <f>VLOOKUP(A100,'Last Week'!A4:I397,7,FALSE)</f>
        <v>CLOSED</v>
      </c>
    </row>
    <row collapsed="false" customFormat="false" customHeight="true" hidden="false" ht="23.85" outlineLevel="0" r="101">
      <c r="A101" s="6" t="s">
        <v>291</v>
      </c>
      <c r="B101" s="6" t="s">
        <v>292</v>
      </c>
      <c r="C101" s="6"/>
      <c r="D101" s="6" t="s">
        <v>125</v>
      </c>
      <c r="E101" s="6" t="s">
        <v>126</v>
      </c>
      <c r="F101" s="6"/>
      <c r="G101" s="6" t="s">
        <v>14</v>
      </c>
      <c r="H101" s="7" t="n">
        <v>42942.7419530208</v>
      </c>
      <c r="I101" s="8" t="n">
        <v>42942.7419530208</v>
      </c>
      <c r="J101" s="7" t="n">
        <v>42942.5143818056</v>
      </c>
      <c r="K101" s="8" t="n">
        <v>42942.5143818056</v>
      </c>
      <c r="L101" s="6" t="s">
        <v>15</v>
      </c>
      <c r="M101" s="6"/>
      <c r="N101" s="6"/>
      <c r="O101" s="6"/>
      <c r="P101" s="6" t="s">
        <v>29</v>
      </c>
      <c r="Q101" s="0" t="n">
        <f>TODAY()-j101</f>
        <v>327.48561819439783</v>
      </c>
      <c r="R101" t="str">
        <f>VLOOKUP(A101,'Last Week'!A4:I397,7,FALSE)</f>
        <v>CLOSED</v>
      </c>
    </row>
    <row collapsed="false" customFormat="false" customHeight="true" hidden="false" ht="35.05" outlineLevel="0" r="102">
      <c r="A102" s="6" t="s">
        <v>293</v>
      </c>
      <c r="B102" s="6" t="s">
        <v>294</v>
      </c>
      <c r="C102" s="6"/>
      <c r="D102" s="6" t="s">
        <v>96</v>
      </c>
      <c r="E102" s="6" t="s">
        <v>96</v>
      </c>
      <c r="F102" s="6"/>
      <c r="G102" s="6" t="s">
        <v>14</v>
      </c>
      <c r="H102" s="7" t="n">
        <v>42944.5428817824</v>
      </c>
      <c r="I102" s="8" t="n">
        <v>42944.5428817824</v>
      </c>
      <c r="J102" s="7" t="n">
        <v>42942.6220223727</v>
      </c>
      <c r="K102" s="8" t="n">
        <v>42942.6220223727</v>
      </c>
      <c r="L102" s="6" t="s">
        <v>15</v>
      </c>
      <c r="M102" s="6"/>
      <c r="N102" s="6"/>
      <c r="O102" s="6"/>
      <c r="P102" s="6" t="s">
        <v>46</v>
      </c>
      <c r="Q102" s="0" t="n">
        <f>TODAY()-j102</f>
        <v>327.3779776273004</v>
      </c>
      <c r="R102" t="str">
        <f>VLOOKUP(A102,'Last Week'!A4:I397,7,FALSE)</f>
        <v>CLOSED</v>
      </c>
    </row>
    <row collapsed="false" customFormat="false" customHeight="true" hidden="false" ht="23.85" outlineLevel="0" r="103">
      <c r="A103" s="6" t="s">
        <v>295</v>
      </c>
      <c r="B103" s="6" t="s">
        <v>296</v>
      </c>
      <c r="C103" s="6"/>
      <c r="D103" s="6" t="s">
        <v>140</v>
      </c>
      <c r="E103" s="6" t="s">
        <v>81</v>
      </c>
      <c r="F103" s="6"/>
      <c r="G103" s="6" t="s">
        <v>14</v>
      </c>
      <c r="H103" s="7" t="n">
        <v>42943.4487511111</v>
      </c>
      <c r="I103" s="8" t="n">
        <v>42943.4487511111</v>
      </c>
      <c r="J103" s="7" t="n">
        <v>42942.7378733681</v>
      </c>
      <c r="K103" s="8" t="n">
        <v>42942.7378733681</v>
      </c>
      <c r="L103" s="6" t="s">
        <v>15</v>
      </c>
      <c r="M103" s="6"/>
      <c r="N103" s="6"/>
      <c r="O103" s="6"/>
      <c r="P103" s="6" t="s">
        <v>16</v>
      </c>
      <c r="Q103" s="0" t="n">
        <f>TODAY()-j103</f>
        <v>327.26212663189654</v>
      </c>
      <c r="R103" t="str">
        <f>VLOOKUP(A103,'Last Week'!A4:I397,7,FALSE)</f>
        <v>CLOSED</v>
      </c>
    </row>
    <row collapsed="false" customFormat="false" customHeight="true" hidden="false" ht="46.25" outlineLevel="0" r="104">
      <c r="A104" s="6" t="s">
        <v>297</v>
      </c>
      <c r="B104" s="6" t="s">
        <v>298</v>
      </c>
      <c r="C104" s="6"/>
      <c r="D104" s="6" t="s">
        <v>61</v>
      </c>
      <c r="E104" s="6" t="s">
        <v>72</v>
      </c>
      <c r="F104" s="6"/>
      <c r="G104" s="6" t="s">
        <v>14</v>
      </c>
      <c r="H104" s="7" t="n">
        <v>42944.4584441088</v>
      </c>
      <c r="I104" s="8" t="n">
        <v>42944.4584441088</v>
      </c>
      <c r="J104" s="7" t="n">
        <v>42943.6523933449</v>
      </c>
      <c r="K104" s="8" t="n">
        <v>42943.6523933449</v>
      </c>
      <c r="L104" s="6" t="s">
        <v>15</v>
      </c>
      <c r="M104" s="6"/>
      <c r="N104" s="6"/>
      <c r="O104" s="6"/>
      <c r="P104" s="6" t="s">
        <v>29</v>
      </c>
      <c r="Q104" s="0" t="n">
        <f>TODAY()-j104</f>
        <v>326.3476066551011</v>
      </c>
      <c r="R104" t="str">
        <f>VLOOKUP(A104,'Last Week'!A4:I397,7,FALSE)</f>
        <v>CLOSED</v>
      </c>
    </row>
    <row collapsed="false" customFormat="false" customHeight="true" hidden="false" ht="23.85" outlineLevel="0" r="105">
      <c r="A105" s="6" t="s">
        <v>299</v>
      </c>
      <c r="B105" s="6" t="s">
        <v>300</v>
      </c>
      <c r="C105" s="6"/>
      <c r="D105" s="6" t="s">
        <v>125</v>
      </c>
      <c r="E105" s="6" t="s">
        <v>126</v>
      </c>
      <c r="F105" s="6"/>
      <c r="G105" s="6" t="s">
        <v>14</v>
      </c>
      <c r="H105" s="7" t="n">
        <v>42947.0423500347</v>
      </c>
      <c r="I105" s="8" t="n">
        <v>42947.0423500347</v>
      </c>
      <c r="J105" s="7" t="n">
        <v>42944.4825366898</v>
      </c>
      <c r="K105" s="8" t="n">
        <v>42944.4825366898</v>
      </c>
      <c r="L105" s="6" t="s">
        <v>15</v>
      </c>
      <c r="M105" s="6"/>
      <c r="N105" s="6"/>
      <c r="O105" s="6"/>
      <c r="P105" s="6" t="s">
        <v>46</v>
      </c>
      <c r="Q105" s="0" t="n">
        <f>TODAY()-j105</f>
        <v>325.5174633101997</v>
      </c>
      <c r="R105" t="str">
        <f>VLOOKUP(A105,'Last Week'!A4:I397,7,FALSE)</f>
        <v>CLOSED</v>
      </c>
    </row>
    <row collapsed="false" customFormat="false" customHeight="true" hidden="false" ht="23.85" outlineLevel="0" r="106">
      <c r="A106" s="6" t="s">
        <v>301</v>
      </c>
      <c r="B106" s="6" t="s">
        <v>302</v>
      </c>
      <c r="C106" s="6"/>
      <c r="D106" s="6" t="s">
        <v>61</v>
      </c>
      <c r="E106" s="6" t="s">
        <v>175</v>
      </c>
      <c r="F106" s="6"/>
      <c r="G106" s="6" t="s">
        <v>14</v>
      </c>
      <c r="H106" s="7" t="n">
        <v>42947.487320625</v>
      </c>
      <c r="I106" s="8" t="n">
        <v>42947.487320625</v>
      </c>
      <c r="J106" s="7" t="n">
        <v>42944.7694461574</v>
      </c>
      <c r="K106" s="8" t="n">
        <v>42944.7694461574</v>
      </c>
      <c r="L106" s="6" t="s">
        <v>15</v>
      </c>
      <c r="M106" s="6"/>
      <c r="N106" s="6"/>
      <c r="O106" s="6"/>
      <c r="P106" s="6" t="s">
        <v>46</v>
      </c>
      <c r="Q106" s="0" t="n">
        <f>TODAY()-j106</f>
        <v>325.2305538426008</v>
      </c>
      <c r="R106" t="str">
        <f>VLOOKUP(A106,'Last Week'!A4:I397,7,FALSE)</f>
        <v>CLOSED</v>
      </c>
    </row>
    <row collapsed="false" customFormat="false" customHeight="true" hidden="false" ht="23.85" outlineLevel="0" r="107">
      <c r="A107" s="6" t="s">
        <v>303</v>
      </c>
      <c r="B107" s="6" t="s">
        <v>304</v>
      </c>
      <c r="C107" s="6"/>
      <c r="D107" s="6" t="s">
        <v>305</v>
      </c>
      <c r="E107" s="6" t="s">
        <v>72</v>
      </c>
      <c r="F107" s="6"/>
      <c r="G107" s="6" t="s">
        <v>14</v>
      </c>
      <c r="H107" s="7" t="n">
        <v>42949.3922281713</v>
      </c>
      <c r="I107" s="8" t="n">
        <v>42949.3922281713</v>
      </c>
      <c r="J107" s="7" t="n">
        <v>42947.4907656944</v>
      </c>
      <c r="K107" s="8" t="n">
        <v>42947.4907656944</v>
      </c>
      <c r="L107" s="6" t="s">
        <v>15</v>
      </c>
      <c r="M107" s="6"/>
      <c r="N107" s="6"/>
      <c r="O107" s="6"/>
      <c r="P107" s="6" t="s">
        <v>46</v>
      </c>
      <c r="Q107" s="0" t="n">
        <f>TODAY()-j107</f>
        <v>322.50923430560215</v>
      </c>
      <c r="R107" t="str">
        <f>VLOOKUP(A107,'Last Week'!A4:I397,7,FALSE)</f>
        <v>CLOSED</v>
      </c>
    </row>
    <row collapsed="false" customFormat="false" customHeight="true" hidden="false" ht="23.85" outlineLevel="0" r="108">
      <c r="A108" s="6" t="s">
        <v>306</v>
      </c>
      <c r="B108" s="6" t="s">
        <v>307</v>
      </c>
      <c r="C108" s="6"/>
      <c r="D108" s="6" t="s">
        <v>308</v>
      </c>
      <c r="E108" s="6" t="s">
        <v>229</v>
      </c>
      <c r="F108" s="6"/>
      <c r="G108" s="6" t="s">
        <v>14</v>
      </c>
      <c r="H108" s="7" t="n">
        <v>42953.3922820602</v>
      </c>
      <c r="I108" s="8" t="n">
        <v>42953.3922820602</v>
      </c>
      <c r="J108" s="7" t="n">
        <v>42949.9444884144</v>
      </c>
      <c r="K108" s="8" t="n">
        <v>42949.9444884144</v>
      </c>
      <c r="L108" s="6" t="s">
        <v>15</v>
      </c>
      <c r="M108" s="6"/>
      <c r="N108" s="6"/>
      <c r="O108" s="6"/>
      <c r="P108" s="6" t="s">
        <v>16</v>
      </c>
      <c r="Q108" s="0" t="n">
        <f>TODAY()-j108</f>
        <v>320.05551158559683</v>
      </c>
      <c r="R108" t="str">
        <f>VLOOKUP(A108,'Last Week'!A4:I397,7,FALSE)</f>
        <v>CLOSED</v>
      </c>
    </row>
    <row collapsed="false" customFormat="false" customHeight="true" hidden="false" ht="23.85" outlineLevel="0" r="109">
      <c r="A109" s="6" t="s">
        <v>309</v>
      </c>
      <c r="B109" s="6" t="s">
        <v>310</v>
      </c>
      <c r="C109" s="6"/>
      <c r="D109" s="6" t="s">
        <v>54</v>
      </c>
      <c r="E109" s="6" t="s">
        <v>55</v>
      </c>
      <c r="F109" s="6"/>
      <c r="G109" s="6" t="s">
        <v>14</v>
      </c>
      <c r="H109" s="7" t="n">
        <v>42952.167395162</v>
      </c>
      <c r="I109" s="8" t="n">
        <v>42952.167395162</v>
      </c>
      <c r="J109" s="7" t="n">
        <v>42950.5152983333</v>
      </c>
      <c r="K109" s="8" t="n">
        <v>42950.5152983333</v>
      </c>
      <c r="L109" s="6" t="s">
        <v>15</v>
      </c>
      <c r="M109" s="6"/>
      <c r="N109" s="6"/>
      <c r="O109" s="6"/>
      <c r="P109" s="6" t="s">
        <v>16</v>
      </c>
      <c r="Q109" s="0" t="n">
        <f>TODAY()-j109</f>
        <v>319.4847016666972</v>
      </c>
      <c r="R109" t="str">
        <f>VLOOKUP(A109,'Last Week'!A4:I397,7,FALSE)</f>
        <v>CLOSED</v>
      </c>
    </row>
    <row collapsed="false" customFormat="false" customHeight="true" hidden="false" ht="23.85" outlineLevel="0" r="110">
      <c r="A110" s="6" t="s">
        <v>311</v>
      </c>
      <c r="B110" s="6" t="s">
        <v>312</v>
      </c>
      <c r="C110" s="6"/>
      <c r="D110" s="6" t="s">
        <v>54</v>
      </c>
      <c r="E110" s="6" t="s">
        <v>55</v>
      </c>
      <c r="F110" s="6"/>
      <c r="G110" s="6" t="s">
        <v>14</v>
      </c>
      <c r="H110" s="7" t="n">
        <v>42953.7507221991</v>
      </c>
      <c r="I110" s="8" t="n">
        <v>42953.7507221991</v>
      </c>
      <c r="J110" s="7" t="n">
        <v>42950.5278230324</v>
      </c>
      <c r="K110" s="8" t="n">
        <v>42950.5278230324</v>
      </c>
      <c r="L110" s="6" t="s">
        <v>15</v>
      </c>
      <c r="M110" s="6"/>
      <c r="N110" s="6"/>
      <c r="O110" s="6"/>
      <c r="P110" s="6" t="s">
        <v>58</v>
      </c>
      <c r="Q110" s="0" t="n">
        <f>TODAY()-j110</f>
        <v>319.47217696760345</v>
      </c>
      <c r="R110" t="str">
        <f>VLOOKUP(A110,'Last Week'!A4:I397,7,FALSE)</f>
        <v>CLOSED</v>
      </c>
    </row>
    <row collapsed="false" customFormat="false" customHeight="true" hidden="false" ht="35.05" outlineLevel="0" r="111">
      <c r="A111" s="6" t="s">
        <v>313</v>
      </c>
      <c r="B111" s="6" t="s">
        <v>314</v>
      </c>
      <c r="C111" s="6"/>
      <c r="D111" s="6" t="s">
        <v>315</v>
      </c>
      <c r="E111" s="6" t="s">
        <v>24</v>
      </c>
      <c r="F111" s="6"/>
      <c r="G111" s="6" t="s">
        <v>14</v>
      </c>
      <c r="H111" s="7" t="n">
        <v>42953.6492269444</v>
      </c>
      <c r="I111" s="8" t="n">
        <v>42953.6492269444</v>
      </c>
      <c r="J111" s="7" t="n">
        <v>42950.6160591204</v>
      </c>
      <c r="K111" s="8" t="n">
        <v>42950.6160591204</v>
      </c>
      <c r="L111" s="6" t="s">
        <v>15</v>
      </c>
      <c r="M111" s="6"/>
      <c r="N111" s="6"/>
      <c r="O111" s="6"/>
      <c r="P111" s="6" t="s">
        <v>29</v>
      </c>
      <c r="Q111" s="0" t="n">
        <f>TODAY()-j111</f>
        <v>319.3839408795975</v>
      </c>
      <c r="R111" t="str">
        <f>VLOOKUP(A111,'Last Week'!A4:I397,7,FALSE)</f>
        <v>CLOSED</v>
      </c>
    </row>
    <row collapsed="false" customFormat="false" customHeight="true" hidden="false" ht="23.85" outlineLevel="0" r="112">
      <c r="A112" s="6" t="s">
        <v>316</v>
      </c>
      <c r="B112" s="6" t="s">
        <v>317</v>
      </c>
      <c r="C112" s="6"/>
      <c r="D112" s="6" t="s">
        <v>29</v>
      </c>
      <c r="E112" s="6" t="s">
        <v>72</v>
      </c>
      <c r="F112" s="6"/>
      <c r="G112" s="6" t="s">
        <v>14</v>
      </c>
      <c r="H112" s="7" t="n">
        <v>42950.7243851273</v>
      </c>
      <c r="I112" s="8" t="n">
        <v>42950.7243851273</v>
      </c>
      <c r="J112" s="7" t="n">
        <v>42950.7158599653</v>
      </c>
      <c r="K112" s="8" t="n">
        <v>42950.7158599653</v>
      </c>
      <c r="L112" s="6" t="s">
        <v>15</v>
      </c>
      <c r="M112" s="6"/>
      <c r="N112" s="6"/>
      <c r="O112" s="6"/>
      <c r="P112" s="6" t="s">
        <v>29</v>
      </c>
      <c r="Q112" s="0" t="n">
        <f>TODAY()-j112</f>
        <v>319.28414003470243</v>
      </c>
      <c r="R112" t="str">
        <f>VLOOKUP(A112,'Last Week'!A4:I397,7,FALSE)</f>
        <v>CLOSED</v>
      </c>
    </row>
    <row collapsed="false" customFormat="false" customHeight="true" hidden="false" ht="23.85" outlineLevel="0" r="113">
      <c r="A113" s="6" t="s">
        <v>318</v>
      </c>
      <c r="B113" s="6" t="s">
        <v>319</v>
      </c>
      <c r="C113" s="6"/>
      <c r="D113" s="6" t="s">
        <v>61</v>
      </c>
      <c r="E113" s="6" t="s">
        <v>72</v>
      </c>
      <c r="F113" s="6"/>
      <c r="G113" s="6" t="s">
        <v>14</v>
      </c>
      <c r="H113" s="7" t="n">
        <v>42953.7507352778</v>
      </c>
      <c r="I113" s="8" t="n">
        <v>42953.7507352778</v>
      </c>
      <c r="J113" s="7" t="n">
        <v>42951.4042214699</v>
      </c>
      <c r="K113" s="8" t="n">
        <v>42951.4042214699</v>
      </c>
      <c r="L113" s="6" t="s">
        <v>15</v>
      </c>
      <c r="M113" s="6"/>
      <c r="N113" s="6"/>
      <c r="O113" s="6"/>
      <c r="P113" s="6" t="s">
        <v>29</v>
      </c>
      <c r="Q113" s="0" t="n">
        <f>TODAY()-j113</f>
        <v>318.5957785300998</v>
      </c>
      <c r="R113" t="str">
        <f>VLOOKUP(A113,'Last Week'!A4:I397,7,FALSE)</f>
        <v>CLOSED</v>
      </c>
    </row>
    <row collapsed="false" customFormat="false" customHeight="true" hidden="false" ht="35.05" outlineLevel="0" r="114">
      <c r="A114" s="6" t="s">
        <v>320</v>
      </c>
      <c r="B114" s="6" t="s">
        <v>321</v>
      </c>
      <c r="C114" s="6"/>
      <c r="D114" s="6" t="s">
        <v>61</v>
      </c>
      <c r="E114" s="6" t="s">
        <v>72</v>
      </c>
      <c r="F114" s="6"/>
      <c r="G114" s="6" t="s">
        <v>14</v>
      </c>
      <c r="H114" s="7" t="n">
        <v>42953.8340631482</v>
      </c>
      <c r="I114" s="8" t="n">
        <v>42953.8340631482</v>
      </c>
      <c r="J114" s="7" t="n">
        <v>42951.4113970949</v>
      </c>
      <c r="K114" s="8" t="n">
        <v>42951.4113970949</v>
      </c>
      <c r="L114" s="6" t="s">
        <v>15</v>
      </c>
      <c r="M114" s="6"/>
      <c r="N114" s="6"/>
      <c r="O114" s="6"/>
      <c r="P114" s="6" t="s">
        <v>29</v>
      </c>
      <c r="Q114" s="0" t="n">
        <f>TODAY()-j114</f>
        <v>318.58860290510347</v>
      </c>
      <c r="R114" t="str">
        <f>VLOOKUP(A114,'Last Week'!A4:I397,7,FALSE)</f>
        <v>CLOSED</v>
      </c>
    </row>
    <row collapsed="false" customFormat="false" customHeight="true" hidden="false" ht="35.05" outlineLevel="0" r="115">
      <c r="A115" s="6" t="s">
        <v>322</v>
      </c>
      <c r="B115" s="6" t="s">
        <v>323</v>
      </c>
      <c r="C115" s="6"/>
      <c r="D115" s="6" t="s">
        <v>61</v>
      </c>
      <c r="E115" s="6" t="s">
        <v>72</v>
      </c>
      <c r="F115" s="6"/>
      <c r="G115" s="6" t="s">
        <v>14</v>
      </c>
      <c r="H115" s="7" t="n">
        <v>42956.083706875</v>
      </c>
      <c r="I115" s="8" t="n">
        <v>42956.083706875</v>
      </c>
      <c r="J115" s="7" t="n">
        <v>42951.7469994213</v>
      </c>
      <c r="K115" s="8" t="n">
        <v>42951.7469994213</v>
      </c>
      <c r="L115" s="6" t="s">
        <v>15</v>
      </c>
      <c r="M115" s="6"/>
      <c r="N115" s="6"/>
      <c r="O115" s="6"/>
      <c r="P115" s="6" t="s">
        <v>16</v>
      </c>
      <c r="Q115" s="0" t="n">
        <f>TODAY()-j115</f>
        <v>318.25300057869754</v>
      </c>
      <c r="R115" t="str">
        <f>VLOOKUP(A115,'Last Week'!A4:I397,7,FALSE)</f>
        <v>CLOSED</v>
      </c>
    </row>
    <row collapsed="false" customFormat="false" customHeight="true" hidden="false" ht="23.85" outlineLevel="0" r="116">
      <c r="A116" s="6" t="s">
        <v>324</v>
      </c>
      <c r="B116" s="6" t="s">
        <v>325</v>
      </c>
      <c r="C116" s="6"/>
      <c r="D116" s="6" t="s">
        <v>125</v>
      </c>
      <c r="E116" s="6" t="s">
        <v>126</v>
      </c>
      <c r="F116" s="6"/>
      <c r="G116" s="6" t="s">
        <v>14</v>
      </c>
      <c r="H116" s="7" t="n">
        <v>42955.7042494908</v>
      </c>
      <c r="I116" s="8" t="n">
        <v>42955.7042494908</v>
      </c>
      <c r="J116" s="7" t="n">
        <v>42954.4691331597</v>
      </c>
      <c r="K116" s="8" t="n">
        <v>42954.4691331597</v>
      </c>
      <c r="L116" s="6" t="s">
        <v>15</v>
      </c>
      <c r="M116" s="6"/>
      <c r="N116" s="6"/>
      <c r="O116" s="6"/>
      <c r="P116" s="6" t="s">
        <v>46</v>
      </c>
      <c r="Q116" s="0" t="n">
        <f>TODAY()-j116</f>
        <v>315.5308668403013</v>
      </c>
      <c r="R116" t="str">
        <f>VLOOKUP(A116,'Last Week'!A4:I397,7,FALSE)</f>
        <v>CLOSED</v>
      </c>
    </row>
    <row collapsed="false" customFormat="false" customHeight="true" hidden="false" ht="23.85" outlineLevel="0" r="117">
      <c r="A117" s="6" t="s">
        <v>326</v>
      </c>
      <c r="B117" s="6" t="s">
        <v>327</v>
      </c>
      <c r="C117" s="6"/>
      <c r="D117" s="6" t="s">
        <v>61</v>
      </c>
      <c r="E117" s="6" t="s">
        <v>81</v>
      </c>
      <c r="F117" s="6"/>
      <c r="G117" s="6" t="s">
        <v>14</v>
      </c>
      <c r="H117" s="7" t="n">
        <v>42955.6205489005</v>
      </c>
      <c r="I117" s="8" t="n">
        <v>42955.6205489005</v>
      </c>
      <c r="J117" s="7" t="n">
        <v>42955.4212508681</v>
      </c>
      <c r="K117" s="8" t="n">
        <v>42955.4212508681</v>
      </c>
      <c r="L117" s="6" t="s">
        <v>15</v>
      </c>
      <c r="M117" s="6"/>
      <c r="N117" s="6"/>
      <c r="O117" s="6"/>
      <c r="P117" s="6" t="s">
        <v>29</v>
      </c>
      <c r="Q117" s="0" t="n">
        <f>TODAY()-j117</f>
        <v>314.5787491318988</v>
      </c>
      <c r="R117" t="str">
        <f>VLOOKUP(A117,'Last Week'!A4:I397,7,FALSE)</f>
        <v>CLOSED</v>
      </c>
    </row>
    <row collapsed="false" customFormat="false" customHeight="true" hidden="false" ht="23.85" outlineLevel="0" r="118">
      <c r="A118" s="6" t="s">
        <v>328</v>
      </c>
      <c r="B118" s="6" t="s">
        <v>329</v>
      </c>
      <c r="C118" s="6"/>
      <c r="D118" s="6" t="s">
        <v>61</v>
      </c>
      <c r="E118" s="6" t="s">
        <v>81</v>
      </c>
      <c r="F118" s="6"/>
      <c r="G118" s="6" t="s">
        <v>14</v>
      </c>
      <c r="H118" s="7" t="n">
        <v>42955.6851654977</v>
      </c>
      <c r="I118" s="8" t="n">
        <v>42955.6851654977</v>
      </c>
      <c r="J118" s="7" t="n">
        <v>42955.4288664583</v>
      </c>
      <c r="K118" s="8" t="n">
        <v>42955.4288664583</v>
      </c>
      <c r="L118" s="6" t="s">
        <v>15</v>
      </c>
      <c r="M118" s="6"/>
      <c r="N118" s="6"/>
      <c r="O118" s="6"/>
      <c r="P118" s="6" t="s">
        <v>29</v>
      </c>
      <c r="Q118" s="0" t="n">
        <f>TODAY()-j118</f>
        <v>314.57113354169996</v>
      </c>
      <c r="R118" t="str">
        <f>VLOOKUP(A118,'Last Week'!A4:I397,7,FALSE)</f>
        <v>CLOSED</v>
      </c>
    </row>
    <row collapsed="false" customFormat="false" customHeight="true" hidden="false" ht="23.85" outlineLevel="0" r="119">
      <c r="A119" s="6" t="s">
        <v>330</v>
      </c>
      <c r="B119" s="6" t="s">
        <v>331</v>
      </c>
      <c r="C119" s="6"/>
      <c r="D119" s="6" t="s">
        <v>61</v>
      </c>
      <c r="E119" s="6" t="s">
        <v>81</v>
      </c>
      <c r="F119" s="6"/>
      <c r="G119" s="6" t="s">
        <v>14</v>
      </c>
      <c r="H119" s="7" t="n">
        <v>42958.5255933333</v>
      </c>
      <c r="I119" s="8" t="n">
        <v>42958.5255933333</v>
      </c>
      <c r="J119" s="7" t="n">
        <v>42955.5297250116</v>
      </c>
      <c r="K119" s="8" t="n">
        <v>42955.5297250116</v>
      </c>
      <c r="L119" s="6" t="s">
        <v>15</v>
      </c>
      <c r="M119" s="6"/>
      <c r="N119" s="6"/>
      <c r="O119" s="6"/>
      <c r="P119" s="6" t="s">
        <v>29</v>
      </c>
      <c r="Q119" s="0" t="n">
        <f>TODAY()-j119</f>
        <v>314.4702749884018</v>
      </c>
      <c r="R119" t="str">
        <f>VLOOKUP(A119,'Last Week'!A4:I397,7,FALSE)</f>
        <v>CLOSED</v>
      </c>
    </row>
    <row collapsed="false" customFormat="false" customHeight="true" hidden="false" ht="23.85" outlineLevel="0" r="120">
      <c r="A120" s="6" t="s">
        <v>332</v>
      </c>
      <c r="B120" s="6" t="s">
        <v>300</v>
      </c>
      <c r="C120" s="6"/>
      <c r="D120" s="6" t="s">
        <v>125</v>
      </c>
      <c r="E120" s="6" t="s">
        <v>126</v>
      </c>
      <c r="F120" s="6"/>
      <c r="G120" s="6" t="s">
        <v>14</v>
      </c>
      <c r="H120" s="7" t="n">
        <v>42959.0840233681</v>
      </c>
      <c r="I120" s="8" t="n">
        <v>42959.0840233681</v>
      </c>
      <c r="J120" s="7" t="n">
        <v>42956.6007808912</v>
      </c>
      <c r="K120" s="8" t="n">
        <v>42956.6007808912</v>
      </c>
      <c r="L120" s="6" t="s">
        <v>15</v>
      </c>
      <c r="M120" s="6"/>
      <c r="N120" s="6"/>
      <c r="O120" s="6"/>
      <c r="P120" s="6" t="s">
        <v>16</v>
      </c>
      <c r="Q120" s="0" t="n">
        <f>TODAY()-j120</f>
        <v>313.3992191087964</v>
      </c>
      <c r="R120" t="str">
        <f>VLOOKUP(A120,'Last Week'!A4:I397,7,FALSE)</f>
        <v>CLOSED</v>
      </c>
    </row>
    <row collapsed="false" customFormat="false" customHeight="true" hidden="false" ht="23.85" outlineLevel="0" r="121">
      <c r="A121" s="6" t="s">
        <v>333</v>
      </c>
      <c r="B121" s="6" t="s">
        <v>334</v>
      </c>
      <c r="C121" s="6"/>
      <c r="D121" s="6" t="s">
        <v>164</v>
      </c>
      <c r="E121" s="6" t="s">
        <v>215</v>
      </c>
      <c r="F121" s="6"/>
      <c r="G121" s="6" t="s">
        <v>14</v>
      </c>
      <c r="H121" s="7" t="n">
        <v>42959.0840556134</v>
      </c>
      <c r="I121" s="8" t="n">
        <v>42959.0840556134</v>
      </c>
      <c r="J121" s="7" t="n">
        <v>42956.6427156829</v>
      </c>
      <c r="K121" s="8" t="n">
        <v>42956.6427156829</v>
      </c>
      <c r="L121" s="6" t="s">
        <v>15</v>
      </c>
      <c r="M121" s="6"/>
      <c r="N121" s="6"/>
      <c r="O121" s="6"/>
      <c r="P121" s="6" t="s">
        <v>16</v>
      </c>
      <c r="Q121" s="0" t="n">
        <f>TODAY()-j121</f>
        <v>313.3572843170987</v>
      </c>
      <c r="R121" t="str">
        <f>VLOOKUP(A121,'Last Week'!A4:I397,7,FALSE)</f>
        <v>CLOSED</v>
      </c>
    </row>
    <row collapsed="false" customFormat="false" customHeight="true" hidden="false" ht="35.05" outlineLevel="0" r="122">
      <c r="A122" s="6" t="s">
        <v>335</v>
      </c>
      <c r="B122" s="6" t="s">
        <v>336</v>
      </c>
      <c r="C122" s="6"/>
      <c r="D122" s="6" t="s">
        <v>61</v>
      </c>
      <c r="E122" s="6" t="s">
        <v>175</v>
      </c>
      <c r="F122" s="6"/>
      <c r="G122" s="6" t="s">
        <v>14</v>
      </c>
      <c r="H122" s="7" t="n">
        <v>42959.0841495486</v>
      </c>
      <c r="I122" s="8" t="n">
        <v>42959.0841495486</v>
      </c>
      <c r="J122" s="7" t="n">
        <v>42956.8485722107</v>
      </c>
      <c r="K122" s="8" t="n">
        <v>42956.8485722107</v>
      </c>
      <c r="L122" s="6" t="s">
        <v>15</v>
      </c>
      <c r="M122" s="6"/>
      <c r="N122" s="6"/>
      <c r="O122" s="6"/>
      <c r="P122" s="6" t="s">
        <v>16</v>
      </c>
      <c r="Q122" s="0" t="n">
        <f>TODAY()-j122</f>
        <v>313.1514277893002</v>
      </c>
      <c r="R122" t="str">
        <f>VLOOKUP(A122,'Last Week'!A4:I397,7,FALSE)</f>
        <v>CLOSED</v>
      </c>
    </row>
    <row collapsed="false" customFormat="false" customHeight="true" hidden="false" ht="23.85" outlineLevel="0" r="123">
      <c r="A123" s="6" t="s">
        <v>337</v>
      </c>
      <c r="B123" s="6" t="s">
        <v>338</v>
      </c>
      <c r="C123" s="6"/>
      <c r="D123" s="6" t="s">
        <v>339</v>
      </c>
      <c r="E123" s="6" t="s">
        <v>339</v>
      </c>
      <c r="F123" s="6"/>
      <c r="G123" s="6" t="s">
        <v>14</v>
      </c>
      <c r="H123" s="7" t="n">
        <v>42961.4583555093</v>
      </c>
      <c r="I123" s="8" t="n">
        <v>42961.4583555093</v>
      </c>
      <c r="J123" s="7" t="n">
        <v>42957.5220700694</v>
      </c>
      <c r="K123" s="8" t="n">
        <v>42957.5220700694</v>
      </c>
      <c r="L123" s="6" t="s">
        <v>15</v>
      </c>
      <c r="M123" s="6"/>
      <c r="N123" s="6"/>
      <c r="O123" s="6"/>
      <c r="P123" s="6" t="s">
        <v>46</v>
      </c>
      <c r="Q123" s="0" t="n">
        <f>TODAY()-j123</f>
        <v>312.47792993060284</v>
      </c>
      <c r="R123" t="str">
        <f>VLOOKUP(A123,'Last Week'!A4:I397,7,FALSE)</f>
        <v>CLOSED</v>
      </c>
    </row>
    <row collapsed="false" customFormat="false" customHeight="true" hidden="false" ht="35.05" outlineLevel="0" r="124">
      <c r="A124" s="6" t="s">
        <v>340</v>
      </c>
      <c r="B124" s="6" t="s">
        <v>336</v>
      </c>
      <c r="C124" s="6"/>
      <c r="D124" s="6" t="s">
        <v>61</v>
      </c>
      <c r="E124" s="6" t="s">
        <v>72</v>
      </c>
      <c r="F124" s="6"/>
      <c r="G124" s="6" t="s">
        <v>14</v>
      </c>
      <c r="H124" s="7" t="n">
        <v>42957.7519491204</v>
      </c>
      <c r="I124" s="8" t="n">
        <v>42957.7519491204</v>
      </c>
      <c r="J124" s="7" t="n">
        <v>42957.6731636111</v>
      </c>
      <c r="K124" s="8" t="n">
        <v>42957.6731636111</v>
      </c>
      <c r="L124" s="6" t="s">
        <v>15</v>
      </c>
      <c r="M124" s="6"/>
      <c r="N124" s="6"/>
      <c r="O124" s="6"/>
      <c r="P124" s="6" t="s">
        <v>46</v>
      </c>
      <c r="Q124" s="0" t="n">
        <f>TODAY()-j124</f>
        <v>312.3268363889001</v>
      </c>
      <c r="R124" t="str">
        <f>VLOOKUP(A124,'Last Week'!A4:I397,7,FALSE)</f>
        <v>CLOSED</v>
      </c>
    </row>
    <row collapsed="false" customFormat="false" customHeight="true" hidden="false" ht="23.85" outlineLevel="0" r="125">
      <c r="A125" s="6" t="s">
        <v>341</v>
      </c>
      <c r="B125" s="6" t="s">
        <v>342</v>
      </c>
      <c r="C125" s="6"/>
      <c r="D125" s="6" t="s">
        <v>343</v>
      </c>
      <c r="E125" s="6" t="s">
        <v>115</v>
      </c>
      <c r="F125" s="6"/>
      <c r="G125" s="6" t="s">
        <v>14</v>
      </c>
      <c r="H125" s="7" t="n">
        <v>42960.783712662</v>
      </c>
      <c r="I125" s="8" t="n">
        <v>42960.783712662</v>
      </c>
      <c r="J125" s="7" t="n">
        <v>42957.7272142824</v>
      </c>
      <c r="K125" s="8" t="n">
        <v>42957.7272142824</v>
      </c>
      <c r="L125" s="6" t="s">
        <v>15</v>
      </c>
      <c r="M125" s="6"/>
      <c r="N125" s="6"/>
      <c r="O125" s="6"/>
      <c r="P125" s="6" t="s">
        <v>29</v>
      </c>
      <c r="Q125" s="0" t="n">
        <f>TODAY()-j125</f>
        <v>312.2727857175996</v>
      </c>
      <c r="R125" t="str">
        <f>VLOOKUP(A125,'Last Week'!A4:I397,7,FALSE)</f>
        <v>CLOSED</v>
      </c>
    </row>
    <row collapsed="false" customFormat="false" customHeight="true" hidden="false" ht="46.25" outlineLevel="0" r="126">
      <c r="A126" s="6" t="s">
        <v>344</v>
      </c>
      <c r="B126" s="6" t="s">
        <v>345</v>
      </c>
      <c r="C126" s="6"/>
      <c r="D126" s="6" t="s">
        <v>280</v>
      </c>
      <c r="E126" s="6" t="s">
        <v>175</v>
      </c>
      <c r="F126" s="6"/>
      <c r="G126" s="6" t="s">
        <v>14</v>
      </c>
      <c r="H126" s="7" t="n">
        <v>42958.4824560417</v>
      </c>
      <c r="I126" s="8" t="n">
        <v>42958.4824560417</v>
      </c>
      <c r="J126" s="7" t="n">
        <v>42957.8923795833</v>
      </c>
      <c r="K126" s="8" t="n">
        <v>42957.8923795833</v>
      </c>
      <c r="L126" s="6" t="s">
        <v>15</v>
      </c>
      <c r="M126" s="6"/>
      <c r="N126" s="6"/>
      <c r="O126" s="6"/>
      <c r="P126" s="6" t="s">
        <v>46</v>
      </c>
      <c r="Q126" s="0" t="n">
        <f>TODAY()-j126</f>
        <v>312.1076204166966</v>
      </c>
      <c r="R126" t="str">
        <f>VLOOKUP(A126,'Last Week'!A4:I397,7,FALSE)</f>
        <v>CLOSED</v>
      </c>
    </row>
    <row collapsed="false" customFormat="false" customHeight="true" hidden="false" ht="23.85" outlineLevel="0" r="127">
      <c r="A127" s="6" t="s">
        <v>346</v>
      </c>
      <c r="B127" s="6" t="s">
        <v>347</v>
      </c>
      <c r="C127" s="6"/>
      <c r="D127" s="6" t="s">
        <v>348</v>
      </c>
      <c r="E127" s="6" t="s">
        <v>72</v>
      </c>
      <c r="F127" s="6"/>
      <c r="G127" s="6" t="s">
        <v>14</v>
      </c>
      <c r="H127" s="7" t="n">
        <v>42961.425635625</v>
      </c>
      <c r="I127" s="8" t="n">
        <v>42961.425635625</v>
      </c>
      <c r="J127" s="7" t="n">
        <v>42958.3904016088</v>
      </c>
      <c r="K127" s="8" t="n">
        <v>42958.3904016088</v>
      </c>
      <c r="L127" s="6" t="s">
        <v>15</v>
      </c>
      <c r="M127" s="6"/>
      <c r="N127" s="6"/>
      <c r="O127" s="6"/>
      <c r="P127" s="6" t="s">
        <v>29</v>
      </c>
      <c r="Q127" s="0" t="n">
        <f>TODAY()-j127</f>
        <v>311.60959839120187</v>
      </c>
      <c r="R127" t="str">
        <f>VLOOKUP(A127,'Last Week'!A4:I397,7,FALSE)</f>
        <v>CLOSED</v>
      </c>
    </row>
    <row collapsed="false" customFormat="false" customHeight="true" hidden="false" ht="23.85" outlineLevel="0" r="128">
      <c r="A128" s="6" t="s">
        <v>349</v>
      </c>
      <c r="B128" s="6" t="s">
        <v>300</v>
      </c>
      <c r="C128" s="6"/>
      <c r="D128" s="6" t="s">
        <v>125</v>
      </c>
      <c r="E128" s="6" t="s">
        <v>126</v>
      </c>
      <c r="F128" s="6"/>
      <c r="G128" s="6" t="s">
        <v>14</v>
      </c>
      <c r="H128" s="7" t="n">
        <v>42961.2454771759</v>
      </c>
      <c r="I128" s="8" t="n">
        <v>42961.2454771759</v>
      </c>
      <c r="J128" s="7" t="n">
        <v>42958.5649487847</v>
      </c>
      <c r="K128" s="8" t="n">
        <v>42958.5649487847</v>
      </c>
      <c r="L128" s="6" t="s">
        <v>15</v>
      </c>
      <c r="M128" s="6"/>
      <c r="N128" s="6"/>
      <c r="O128" s="6"/>
      <c r="P128" s="6" t="s">
        <v>29</v>
      </c>
      <c r="Q128" s="0" t="n">
        <f>TODAY()-j128</f>
        <v>311.43505121530325</v>
      </c>
      <c r="R128" t="str">
        <f>VLOOKUP(A128,'Last Week'!A4:I397,7,FALSE)</f>
        <v>CLOSED</v>
      </c>
    </row>
    <row collapsed="false" customFormat="false" customHeight="true" hidden="false" ht="35.05" outlineLevel="0" r="129">
      <c r="A129" s="6" t="s">
        <v>350</v>
      </c>
      <c r="B129" s="6" t="s">
        <v>351</v>
      </c>
      <c r="C129" s="6"/>
      <c r="D129" s="6" t="s">
        <v>61</v>
      </c>
      <c r="E129" s="6" t="s">
        <v>175</v>
      </c>
      <c r="F129" s="6"/>
      <c r="G129" s="6" t="s">
        <v>14</v>
      </c>
      <c r="H129" s="7" t="n">
        <v>42963.0846862153</v>
      </c>
      <c r="I129" s="8" t="n">
        <v>42963.0846862153</v>
      </c>
      <c r="J129" s="7" t="n">
        <v>42958.954398206</v>
      </c>
      <c r="K129" s="8" t="n">
        <v>42958.954398206</v>
      </c>
      <c r="L129" s="6" t="s">
        <v>15</v>
      </c>
      <c r="M129" s="6"/>
      <c r="N129" s="6"/>
      <c r="O129" s="6"/>
      <c r="P129" s="6" t="s">
        <v>16</v>
      </c>
      <c r="Q129" s="0" t="n">
        <f>TODAY()-j129</f>
        <v>311.0456017940014</v>
      </c>
      <c r="R129" t="str">
        <f>VLOOKUP(A129,'Last Week'!A4:I397,7,FALSE)</f>
        <v>CLOSED</v>
      </c>
    </row>
    <row collapsed="false" customFormat="false" customHeight="true" hidden="false" ht="23.85" outlineLevel="0" r="130">
      <c r="A130" s="6" t="s">
        <v>352</v>
      </c>
      <c r="B130" s="6" t="s">
        <v>353</v>
      </c>
      <c r="C130" s="6"/>
      <c r="D130" s="6" t="s">
        <v>232</v>
      </c>
      <c r="E130" s="6" t="s">
        <v>208</v>
      </c>
      <c r="F130" s="6"/>
      <c r="G130" s="6" t="s">
        <v>14</v>
      </c>
      <c r="H130" s="7" t="n">
        <v>42963.5162953009</v>
      </c>
      <c r="I130" s="8" t="n">
        <v>42963.5162953009</v>
      </c>
      <c r="J130" s="7" t="n">
        <v>42961.6748962153</v>
      </c>
      <c r="K130" s="8" t="n">
        <v>42961.6748962153</v>
      </c>
      <c r="L130" s="6" t="s">
        <v>15</v>
      </c>
      <c r="M130" s="6"/>
      <c r="N130" s="6"/>
      <c r="O130" s="6"/>
      <c r="P130" s="6" t="s">
        <v>46</v>
      </c>
      <c r="Q130" s="0" t="n">
        <f>TODAY()-j130</f>
        <v>308.32510378470033</v>
      </c>
      <c r="R130" t="str">
        <f>VLOOKUP(A130,'Last Week'!A4:I397,7,FALSE)</f>
        <v>CLOSED</v>
      </c>
    </row>
    <row collapsed="false" customFormat="false" customHeight="true" hidden="false" ht="23.85" outlineLevel="0" r="131">
      <c r="A131" s="6" t="s">
        <v>354</v>
      </c>
      <c r="B131" s="6" t="s">
        <v>355</v>
      </c>
      <c r="C131" s="6"/>
      <c r="D131" s="6" t="s">
        <v>232</v>
      </c>
      <c r="E131" s="6" t="s">
        <v>109</v>
      </c>
      <c r="F131" s="6"/>
      <c r="G131" s="6" t="s">
        <v>14</v>
      </c>
      <c r="H131" s="7" t="n">
        <v>42963.5166378819</v>
      </c>
      <c r="I131" s="8" t="n">
        <v>42963.5166378819</v>
      </c>
      <c r="J131" s="7" t="n">
        <v>42961.7470175231</v>
      </c>
      <c r="K131" s="8" t="n">
        <v>42961.7470175231</v>
      </c>
      <c r="L131" s="6" t="s">
        <v>15</v>
      </c>
      <c r="M131" s="6"/>
      <c r="N131" s="6"/>
      <c r="O131" s="6"/>
      <c r="P131" s="6" t="s">
        <v>46</v>
      </c>
      <c r="Q131" s="0" t="n">
        <f>TODAY()-j131</f>
        <v>308.2529824769008</v>
      </c>
      <c r="R131" t="str">
        <f>VLOOKUP(A131,'Last Week'!A4:I397,7,FALSE)</f>
        <v>CLOSED</v>
      </c>
    </row>
    <row collapsed="false" customFormat="false" customHeight="true" hidden="false" ht="23.85" outlineLevel="0" r="132">
      <c r="A132" s="6" t="s">
        <v>356</v>
      </c>
      <c r="B132" s="6" t="s">
        <v>357</v>
      </c>
      <c r="C132" s="6"/>
      <c r="D132" s="6" t="s">
        <v>358</v>
      </c>
      <c r="E132" s="6" t="s">
        <v>50</v>
      </c>
      <c r="F132" s="6"/>
      <c r="G132" s="6" t="s">
        <v>14</v>
      </c>
      <c r="H132" s="7" t="n">
        <v>42964.0848512732</v>
      </c>
      <c r="I132" s="8" t="n">
        <v>42964.0848512732</v>
      </c>
      <c r="J132" s="7" t="n">
        <v>42962.1003841204</v>
      </c>
      <c r="K132" s="8" t="n">
        <v>42962.1003841204</v>
      </c>
      <c r="L132" s="6" t="s">
        <v>15</v>
      </c>
      <c r="M132" s="6"/>
      <c r="N132" s="6"/>
      <c r="O132" s="6"/>
      <c r="P132" s="6" t="s">
        <v>58</v>
      </c>
      <c r="Q132" s="0" t="n">
        <f>TODAY()-j132</f>
        <v>307.8996158795999</v>
      </c>
      <c r="R132" t="str">
        <f>VLOOKUP(A132,'Last Week'!A4:I397,7,FALSE)</f>
        <v>CLOSED</v>
      </c>
    </row>
    <row collapsed="false" customFormat="false" customHeight="true" hidden="false" ht="35.05" outlineLevel="0" r="133">
      <c r="A133" s="6" t="s">
        <v>359</v>
      </c>
      <c r="B133" s="6" t="s">
        <v>179</v>
      </c>
      <c r="C133" s="6"/>
      <c r="D133" s="6" t="s">
        <v>125</v>
      </c>
      <c r="E133" s="6" t="s">
        <v>126</v>
      </c>
      <c r="F133" s="6"/>
      <c r="G133" s="6" t="s">
        <v>14</v>
      </c>
      <c r="H133" s="7" t="n">
        <v>42962.6279781945</v>
      </c>
      <c r="I133" s="8" t="n">
        <v>42962.6279781945</v>
      </c>
      <c r="J133" s="7" t="n">
        <v>42962.5356196065</v>
      </c>
      <c r="K133" s="8" t="n">
        <v>42962.5356196065</v>
      </c>
      <c r="L133" s="6" t="s">
        <v>15</v>
      </c>
      <c r="M133" s="6"/>
      <c r="N133" s="6"/>
      <c r="O133" s="6"/>
      <c r="P133" s="6" t="s">
        <v>29</v>
      </c>
      <c r="Q133" s="0" t="n">
        <f>TODAY()-j133</f>
        <v>307.46438039350323</v>
      </c>
      <c r="R133" t="str">
        <f>VLOOKUP(A133,'Last Week'!A4:I397,7,FALSE)</f>
        <v>CLOSED</v>
      </c>
    </row>
    <row collapsed="false" customFormat="false" customHeight="true" hidden="false" ht="35.05" outlineLevel="0" r="134">
      <c r="A134" s="6" t="s">
        <v>360</v>
      </c>
      <c r="B134" s="6" t="s">
        <v>361</v>
      </c>
      <c r="C134" s="6"/>
      <c r="D134" s="6" t="s">
        <v>61</v>
      </c>
      <c r="E134" s="6" t="s">
        <v>50</v>
      </c>
      <c r="F134" s="6"/>
      <c r="G134" s="6" t="s">
        <v>14</v>
      </c>
      <c r="H134" s="7" t="n">
        <v>42965.0849932755</v>
      </c>
      <c r="I134" s="8" t="n">
        <v>42965.0849932755</v>
      </c>
      <c r="J134" s="7" t="n">
        <v>42963.2011513657</v>
      </c>
      <c r="K134" s="8" t="n">
        <v>42963.2011513657</v>
      </c>
      <c r="L134" s="6" t="s">
        <v>15</v>
      </c>
      <c r="M134" s="6"/>
      <c r="N134" s="6"/>
      <c r="O134" s="6"/>
      <c r="P134" s="6" t="s">
        <v>58</v>
      </c>
      <c r="Q134" s="0" t="n">
        <f>TODAY()-j134</f>
        <v>306.798848634302</v>
      </c>
      <c r="R134" t="str">
        <f>VLOOKUP(A134,'Last Week'!A4:I397,7,FALSE)</f>
        <v>CLOSED</v>
      </c>
    </row>
    <row collapsed="false" customFormat="false" customHeight="true" hidden="false" ht="23.85" outlineLevel="0" r="135">
      <c r="A135" s="6" t="s">
        <v>362</v>
      </c>
      <c r="B135" s="6" t="s">
        <v>363</v>
      </c>
      <c r="C135" s="6"/>
      <c r="D135" s="6" t="s">
        <v>364</v>
      </c>
      <c r="E135" s="6" t="s">
        <v>50</v>
      </c>
      <c r="F135" s="6"/>
      <c r="G135" s="6" t="s">
        <v>14</v>
      </c>
      <c r="H135" s="7" t="n">
        <v>42965.0849948958</v>
      </c>
      <c r="I135" s="8" t="n">
        <v>42965.0849948958</v>
      </c>
      <c r="J135" s="7" t="n">
        <v>42963.2457168634</v>
      </c>
      <c r="K135" s="8" t="n">
        <v>42963.2457168634</v>
      </c>
      <c r="L135" s="6" t="s">
        <v>15</v>
      </c>
      <c r="M135" s="6"/>
      <c r="N135" s="6"/>
      <c r="O135" s="6"/>
      <c r="P135" s="6" t="s">
        <v>58</v>
      </c>
      <c r="Q135" s="0" t="n">
        <f>TODAY()-j135</f>
        <v>306.75428313660086</v>
      </c>
      <c r="R135" t="str">
        <f>VLOOKUP(A135,'Last Week'!A4:I397,7,FALSE)</f>
        <v>CLOSED</v>
      </c>
    </row>
    <row collapsed="false" customFormat="false" customHeight="true" hidden="false" ht="23.85" outlineLevel="0" r="136">
      <c r="A136" s="6" t="s">
        <v>365</v>
      </c>
      <c r="B136" s="6" t="s">
        <v>366</v>
      </c>
      <c r="C136" s="6"/>
      <c r="D136" s="6" t="s">
        <v>367</v>
      </c>
      <c r="E136" s="6" t="s">
        <v>72</v>
      </c>
      <c r="F136" s="6"/>
      <c r="G136" s="6" t="s">
        <v>14</v>
      </c>
      <c r="H136" s="7" t="n">
        <v>42965.459111088</v>
      </c>
      <c r="I136" s="8" t="n">
        <v>42965.459111088</v>
      </c>
      <c r="J136" s="7" t="n">
        <v>42963.6503942245</v>
      </c>
      <c r="K136" s="8" t="n">
        <v>42963.6503942245</v>
      </c>
      <c r="L136" s="6" t="s">
        <v>15</v>
      </c>
      <c r="M136" s="6"/>
      <c r="N136" s="6"/>
      <c r="O136" s="6"/>
      <c r="P136" s="6" t="s">
        <v>46</v>
      </c>
      <c r="Q136" s="0" t="n">
        <f>TODAY()-j136</f>
        <v>306.34960577549646</v>
      </c>
      <c r="R136" t="str">
        <f>VLOOKUP(A136,'Last Week'!A4:I397,7,FALSE)</f>
        <v>CLOSED</v>
      </c>
    </row>
    <row collapsed="false" customFormat="false" customHeight="true" hidden="false" ht="23.85" outlineLevel="0" r="137">
      <c r="A137" s="6" t="s">
        <v>368</v>
      </c>
      <c r="B137" s="6" t="s">
        <v>369</v>
      </c>
      <c r="C137" s="6"/>
      <c r="D137" s="6" t="s">
        <v>61</v>
      </c>
      <c r="E137" s="6" t="s">
        <v>72</v>
      </c>
      <c r="F137" s="6"/>
      <c r="G137" s="6" t="s">
        <v>14</v>
      </c>
      <c r="H137" s="7" t="n">
        <v>42966.3341065625</v>
      </c>
      <c r="I137" s="8" t="n">
        <v>42966.3341065625</v>
      </c>
      <c r="J137" s="7" t="n">
        <v>42964.5175823843</v>
      </c>
      <c r="K137" s="8" t="n">
        <v>42964.5175823843</v>
      </c>
      <c r="L137" s="6" t="s">
        <v>15</v>
      </c>
      <c r="M137" s="6"/>
      <c r="N137" s="6"/>
      <c r="O137" s="6"/>
      <c r="P137" s="6" t="s">
        <v>16</v>
      </c>
      <c r="Q137" s="0" t="n">
        <f>TODAY()-j137</f>
        <v>305.48241761569807</v>
      </c>
      <c r="R137" t="str">
        <f>VLOOKUP(A137,'Last Week'!A4:I397,7,FALSE)</f>
        <v>CLOSED</v>
      </c>
    </row>
    <row collapsed="false" customFormat="false" customHeight="true" hidden="false" ht="35.05" outlineLevel="0" r="138">
      <c r="A138" s="6" t="s">
        <v>370</v>
      </c>
      <c r="B138" s="6" t="s">
        <v>371</v>
      </c>
      <c r="C138" s="6"/>
      <c r="D138" s="6" t="s">
        <v>61</v>
      </c>
      <c r="E138" s="6" t="s">
        <v>175</v>
      </c>
      <c r="F138" s="6"/>
      <c r="G138" s="6" t="s">
        <v>14</v>
      </c>
      <c r="H138" s="7" t="n">
        <v>42969.6710012616</v>
      </c>
      <c r="I138" s="8" t="n">
        <v>42969.6710012616</v>
      </c>
      <c r="J138" s="7" t="n">
        <v>42965.8850031019</v>
      </c>
      <c r="K138" s="8" t="n">
        <v>42965.8850031019</v>
      </c>
      <c r="L138" s="6" t="s">
        <v>15</v>
      </c>
      <c r="M138" s="6"/>
      <c r="N138" s="6"/>
      <c r="O138" s="6"/>
      <c r="P138" s="6" t="s">
        <v>16</v>
      </c>
      <c r="Q138" s="0" t="n">
        <f>TODAY()-j138</f>
        <v>304.11499689809716</v>
      </c>
      <c r="R138" t="str">
        <f>VLOOKUP(A138,'Last Week'!A4:I397,7,FALSE)</f>
        <v>CLOSED</v>
      </c>
    </row>
    <row collapsed="false" customFormat="false" customHeight="true" hidden="false" ht="23.85" outlineLevel="0" r="139">
      <c r="A139" s="6" t="s">
        <v>372</v>
      </c>
      <c r="B139" s="6" t="s">
        <v>206</v>
      </c>
      <c r="C139" s="6"/>
      <c r="D139" s="6" t="s">
        <v>348</v>
      </c>
      <c r="E139" s="6" t="s">
        <v>24</v>
      </c>
      <c r="F139" s="6"/>
      <c r="G139" s="6" t="s">
        <v>14</v>
      </c>
      <c r="H139" s="7" t="n">
        <v>42971.08369875</v>
      </c>
      <c r="I139" s="8" t="n">
        <v>42971.08369875</v>
      </c>
      <c r="J139" s="7" t="n">
        <v>42968.5469860069</v>
      </c>
      <c r="K139" s="8" t="n">
        <v>42968.5469860069</v>
      </c>
      <c r="L139" s="6" t="s">
        <v>15</v>
      </c>
      <c r="M139" s="6"/>
      <c r="N139" s="6"/>
      <c r="O139" s="6"/>
      <c r="P139" s="6" t="s">
        <v>46</v>
      </c>
      <c r="Q139" s="0" t="n">
        <f>TODAY()-j139</f>
        <v>301.4530139931012</v>
      </c>
      <c r="R139" t="str">
        <f>VLOOKUP(A139,'Last Week'!A4:I397,7,FALSE)</f>
        <v>CLOSED</v>
      </c>
    </row>
    <row collapsed="false" customFormat="false" customHeight="true" hidden="false" ht="79.85" outlineLevel="0" r="140">
      <c r="A140" s="6" t="s">
        <v>373</v>
      </c>
      <c r="B140" s="6" t="s">
        <v>374</v>
      </c>
      <c r="C140" s="6"/>
      <c r="D140" s="6" t="s">
        <v>375</v>
      </c>
      <c r="E140" s="6" t="s">
        <v>24</v>
      </c>
      <c r="F140" s="6"/>
      <c r="G140" s="6" t="s">
        <v>14</v>
      </c>
      <c r="H140" s="7" t="n">
        <v>42972.125058912</v>
      </c>
      <c r="I140" s="8" t="n">
        <v>42972.125058912</v>
      </c>
      <c r="J140" s="7" t="n">
        <v>42968.6559655903</v>
      </c>
      <c r="K140" s="8" t="n">
        <v>42968.6559655903</v>
      </c>
      <c r="L140" s="6" t="s">
        <v>15</v>
      </c>
      <c r="M140" s="6"/>
      <c r="N140" s="6"/>
      <c r="O140" s="6"/>
      <c r="P140" s="6" t="s">
        <v>29</v>
      </c>
      <c r="Q140" s="0" t="n">
        <f>TODAY()-j140</f>
        <v>301.34403440970345</v>
      </c>
      <c r="R140" t="str">
        <f>VLOOKUP(A140,'Last Week'!A4:I397,7,FALSE)</f>
        <v>CLOSED</v>
      </c>
    </row>
    <row collapsed="false" customFormat="false" customHeight="true" hidden="false" ht="23.85" outlineLevel="0" r="141">
      <c r="A141" s="6" t="s">
        <v>376</v>
      </c>
      <c r="B141" s="6" t="s">
        <v>377</v>
      </c>
      <c r="C141" s="6"/>
      <c r="D141" s="6" t="s">
        <v>88</v>
      </c>
      <c r="E141" s="6" t="s">
        <v>24</v>
      </c>
      <c r="F141" s="6"/>
      <c r="G141" s="6" t="s">
        <v>14</v>
      </c>
      <c r="H141" s="7" t="n">
        <v>42985.084001088</v>
      </c>
      <c r="I141" s="8" t="n">
        <v>42985.084001088</v>
      </c>
      <c r="J141" s="7" t="n">
        <v>42969.5096421528</v>
      </c>
      <c r="K141" s="8" t="n">
        <v>42969.5096421528</v>
      </c>
      <c r="L141" s="6" t="s">
        <v>15</v>
      </c>
      <c r="M141" s="6"/>
      <c r="N141" s="6"/>
      <c r="O141" s="6"/>
      <c r="P141" s="6" t="s">
        <v>58</v>
      </c>
      <c r="Q141" s="0" t="n">
        <f>TODAY()-j141</f>
        <v>300.49035784720036</v>
      </c>
      <c r="R141" t="str">
        <f>VLOOKUP(A141,'Last Week'!A4:I397,7,FALSE)</f>
        <v>CLOSED</v>
      </c>
    </row>
    <row collapsed="false" customFormat="false" customHeight="true" hidden="false" ht="23.85" outlineLevel="0" r="142">
      <c r="A142" s="6" t="s">
        <v>378</v>
      </c>
      <c r="B142" s="6" t="s">
        <v>379</v>
      </c>
      <c r="C142" s="6"/>
      <c r="D142" s="6" t="s">
        <v>380</v>
      </c>
      <c r="E142" s="6" t="s">
        <v>72</v>
      </c>
      <c r="F142" s="6"/>
      <c r="G142" s="6" t="s">
        <v>14</v>
      </c>
      <c r="H142" s="7" t="n">
        <v>42973.4565933565</v>
      </c>
      <c r="I142" s="8" t="n">
        <v>42973.4565933565</v>
      </c>
      <c r="J142" s="7" t="n">
        <v>42969.5326363079</v>
      </c>
      <c r="K142" s="8" t="n">
        <v>42969.5326363079</v>
      </c>
      <c r="L142" s="6" t="s">
        <v>15</v>
      </c>
      <c r="M142" s="6"/>
      <c r="N142" s="6"/>
      <c r="O142" s="6"/>
      <c r="P142" s="6" t="s">
        <v>46</v>
      </c>
      <c r="Q142" s="0" t="n">
        <f>TODAY()-j142</f>
        <v>300.46736369209975</v>
      </c>
      <c r="R142" t="str">
        <f>VLOOKUP(A142,'Last Week'!A4:I397,7,FALSE)</f>
        <v>CLOSED</v>
      </c>
    </row>
    <row collapsed="false" customFormat="false" customHeight="true" hidden="false" ht="23.85" outlineLevel="0" r="143">
      <c r="A143" s="6" t="s">
        <v>381</v>
      </c>
      <c r="B143" s="6" t="s">
        <v>296</v>
      </c>
      <c r="C143" s="6"/>
      <c r="D143" s="6" t="s">
        <v>61</v>
      </c>
      <c r="E143" s="6" t="s">
        <v>81</v>
      </c>
      <c r="F143" s="6"/>
      <c r="G143" s="6" t="s">
        <v>14</v>
      </c>
      <c r="H143" s="7" t="n">
        <v>42970.588250162</v>
      </c>
      <c r="I143" s="8" t="n">
        <v>42970.588250162</v>
      </c>
      <c r="J143" s="7" t="n">
        <v>42969.7259912731</v>
      </c>
      <c r="K143" s="8" t="n">
        <v>42969.7259912731</v>
      </c>
      <c r="L143" s="6" t="s">
        <v>15</v>
      </c>
      <c r="M143" s="6"/>
      <c r="N143" s="6"/>
      <c r="O143" s="6"/>
      <c r="P143" s="6" t="s">
        <v>29</v>
      </c>
      <c r="Q143" s="0" t="n">
        <f>TODAY()-j143</f>
        <v>300.2740087268976</v>
      </c>
      <c r="R143" t="str">
        <f>VLOOKUP(A143,'Last Week'!A4:I397,7,FALSE)</f>
        <v>CLOSED</v>
      </c>
    </row>
    <row collapsed="false" customFormat="false" customHeight="true" hidden="false" ht="23.85" outlineLevel="0" r="144">
      <c r="A144" s="6" t="s">
        <v>382</v>
      </c>
      <c r="B144" s="6" t="s">
        <v>296</v>
      </c>
      <c r="C144" s="6"/>
      <c r="D144" s="6" t="s">
        <v>61</v>
      </c>
      <c r="E144" s="6" t="s">
        <v>81</v>
      </c>
      <c r="F144" s="6"/>
      <c r="G144" s="6" t="s">
        <v>14</v>
      </c>
      <c r="H144" s="7" t="n">
        <v>42970.7040703819</v>
      </c>
      <c r="I144" s="8" t="n">
        <v>42970.7040703819</v>
      </c>
      <c r="J144" s="7" t="n">
        <v>42969.7454496528</v>
      </c>
      <c r="K144" s="8" t="n">
        <v>42969.7454496528</v>
      </c>
      <c r="L144" s="6" t="s">
        <v>15</v>
      </c>
      <c r="M144" s="6"/>
      <c r="N144" s="6"/>
      <c r="O144" s="6"/>
      <c r="P144" s="6" t="s">
        <v>46</v>
      </c>
      <c r="Q144" s="0" t="n">
        <f>TODAY()-j144</f>
        <v>300.25455034719926</v>
      </c>
      <c r="R144" t="str">
        <f>VLOOKUP(A144,'Last Week'!A4:I397,7,FALSE)</f>
        <v>CLOSED</v>
      </c>
    </row>
    <row collapsed="false" customFormat="false" customHeight="true" hidden="false" ht="23.85" outlineLevel="0" r="145">
      <c r="A145" s="6" t="s">
        <v>383</v>
      </c>
      <c r="B145" s="6" t="s">
        <v>384</v>
      </c>
      <c r="C145" s="6"/>
      <c r="D145" s="6" t="s">
        <v>385</v>
      </c>
      <c r="E145" s="6" t="s">
        <v>13</v>
      </c>
      <c r="F145" s="6"/>
      <c r="G145" s="6" t="s">
        <v>14</v>
      </c>
      <c r="H145" s="7" t="n">
        <v>42974.4218749074</v>
      </c>
      <c r="I145" s="8" t="n">
        <v>42974.4218749074</v>
      </c>
      <c r="J145" s="7" t="n">
        <v>42971.389168044</v>
      </c>
      <c r="K145" s="8" t="n">
        <v>42971.389168044</v>
      </c>
      <c r="L145" s="6" t="s">
        <v>15</v>
      </c>
      <c r="M145" s="6"/>
      <c r="N145" s="6"/>
      <c r="O145" s="6"/>
      <c r="P145" s="6" t="s">
        <v>29</v>
      </c>
      <c r="Q145" s="0" t="n">
        <f>TODAY()-j145</f>
        <v>298.61083195600077</v>
      </c>
      <c r="R145" t="str">
        <f>VLOOKUP(A145,'Last Week'!A4:I397,7,FALSE)</f>
        <v>CLOSED</v>
      </c>
    </row>
    <row collapsed="false" customFormat="false" customHeight="true" hidden="false" ht="46.25" outlineLevel="0" r="146">
      <c r="A146" s="6" t="s">
        <v>386</v>
      </c>
      <c r="B146" s="6" t="s">
        <v>387</v>
      </c>
      <c r="C146" s="6"/>
      <c r="D146" s="6" t="s">
        <v>367</v>
      </c>
      <c r="E146" s="6" t="s">
        <v>72</v>
      </c>
      <c r="F146" s="6"/>
      <c r="G146" s="6" t="s">
        <v>14</v>
      </c>
      <c r="H146" s="7" t="n">
        <v>42971.613711794</v>
      </c>
      <c r="I146" s="8" t="n">
        <v>42971.613711794</v>
      </c>
      <c r="J146" s="7" t="n">
        <v>42971.6090356134</v>
      </c>
      <c r="K146" s="8" t="n">
        <v>42971.6090356134</v>
      </c>
      <c r="L146" s="6" t="s">
        <v>15</v>
      </c>
      <c r="M146" s="6"/>
      <c r="N146" s="6"/>
      <c r="O146" s="6"/>
      <c r="P146" s="6" t="s">
        <v>46</v>
      </c>
      <c r="Q146" s="0" t="n">
        <f>TODAY()-j146</f>
        <v>298.3909643865991</v>
      </c>
      <c r="R146" t="str">
        <f>VLOOKUP(A146,'Last Week'!A4:I397,7,FALSE)</f>
        <v>CLOSED</v>
      </c>
    </row>
    <row collapsed="false" customFormat="false" customHeight="true" hidden="false" ht="23.85" outlineLevel="0" r="147">
      <c r="A147" s="6" t="s">
        <v>388</v>
      </c>
      <c r="B147" s="6" t="s">
        <v>389</v>
      </c>
      <c r="C147" s="6"/>
      <c r="D147" s="6" t="s">
        <v>65</v>
      </c>
      <c r="E147" s="6" t="s">
        <v>65</v>
      </c>
      <c r="F147" s="6"/>
      <c r="G147" s="6" t="s">
        <v>14</v>
      </c>
      <c r="H147" s="7" t="n">
        <v>42986.6428432292</v>
      </c>
      <c r="I147" s="8" t="n">
        <v>42986.6428432292</v>
      </c>
      <c r="J147" s="7" t="n">
        <v>42971.6287934375</v>
      </c>
      <c r="K147" s="8" t="n">
        <v>42971.6287934375</v>
      </c>
      <c r="L147" s="6" t="s">
        <v>15</v>
      </c>
      <c r="M147" s="6"/>
      <c r="N147" s="6"/>
      <c r="O147" s="6"/>
      <c r="P147" s="6" t="s">
        <v>16</v>
      </c>
      <c r="Q147" s="0" t="n">
        <f>TODAY()-j147</f>
        <v>298.37120656250045</v>
      </c>
      <c r="R147" t="str">
        <f>VLOOKUP(A147,'Last Week'!A4:I397,7,FALSE)</f>
        <v>CLOSED</v>
      </c>
    </row>
    <row collapsed="false" customFormat="false" customHeight="true" hidden="false" ht="23.85" outlineLevel="0" r="148">
      <c r="A148" s="6" t="s">
        <v>390</v>
      </c>
      <c r="B148" s="6" t="s">
        <v>391</v>
      </c>
      <c r="C148" s="6"/>
      <c r="D148" s="6" t="s">
        <v>392</v>
      </c>
      <c r="E148" s="6" t="s">
        <v>28</v>
      </c>
      <c r="F148" s="6"/>
      <c r="G148" s="6" t="s">
        <v>14</v>
      </c>
      <c r="H148" s="7" t="n">
        <v>42974.8337564468</v>
      </c>
      <c r="I148" s="8" t="n">
        <v>42974.8337564468</v>
      </c>
      <c r="J148" s="7" t="n">
        <v>42971.9034026968</v>
      </c>
      <c r="K148" s="8" t="n">
        <v>42971.9034026968</v>
      </c>
      <c r="L148" s="6" t="s">
        <v>15</v>
      </c>
      <c r="M148" s="6"/>
      <c r="N148" s="6"/>
      <c r="O148" s="6"/>
      <c r="P148" s="6" t="s">
        <v>16</v>
      </c>
      <c r="Q148" s="0" t="n">
        <f>TODAY()-j148</f>
        <v>298.0965973031998</v>
      </c>
      <c r="R148" t="str">
        <f>VLOOKUP(A148,'Last Week'!A4:I397,7,FALSE)</f>
        <v>CLOSED</v>
      </c>
    </row>
    <row collapsed="false" customFormat="false" customHeight="true" hidden="false" ht="23.85" outlineLevel="0" r="149">
      <c r="A149" s="6" t="s">
        <v>393</v>
      </c>
      <c r="B149" s="6" t="s">
        <v>394</v>
      </c>
      <c r="C149" s="6"/>
      <c r="D149" s="6" t="s">
        <v>88</v>
      </c>
      <c r="E149" s="6" t="s">
        <v>24</v>
      </c>
      <c r="F149" s="6"/>
      <c r="G149" s="6" t="s">
        <v>14</v>
      </c>
      <c r="H149" s="7" t="n">
        <v>42972.6442762616</v>
      </c>
      <c r="I149" s="8" t="n">
        <v>42972.6442762616</v>
      </c>
      <c r="J149" s="7" t="n">
        <v>42972.6376312384</v>
      </c>
      <c r="K149" s="8" t="n">
        <v>42972.6376312384</v>
      </c>
      <c r="L149" s="6" t="s">
        <v>15</v>
      </c>
      <c r="M149" s="6"/>
      <c r="N149" s="6"/>
      <c r="O149" s="6"/>
      <c r="P149" s="6" t="s">
        <v>46</v>
      </c>
      <c r="Q149" s="0" t="n">
        <f>TODAY()-j149</f>
        <v>297.3623687615982</v>
      </c>
      <c r="R149" t="str">
        <f>VLOOKUP(A149,'Last Week'!A4:I397,7,FALSE)</f>
        <v>CLOSED</v>
      </c>
    </row>
    <row collapsed="false" customFormat="false" customHeight="true" hidden="false" ht="35.05" outlineLevel="0" r="150">
      <c r="A150" s="6" t="s">
        <v>395</v>
      </c>
      <c r="B150" s="6" t="s">
        <v>396</v>
      </c>
      <c r="C150" s="6"/>
      <c r="D150" s="6" t="s">
        <v>397</v>
      </c>
      <c r="E150" s="6" t="s">
        <v>24</v>
      </c>
      <c r="F150" s="6"/>
      <c r="G150" s="6" t="s">
        <v>14</v>
      </c>
      <c r="H150" s="7" t="n">
        <v>42977.6889647338</v>
      </c>
      <c r="I150" s="8" t="n">
        <v>42977.6889647338</v>
      </c>
      <c r="J150" s="7" t="n">
        <v>42975.6972597801</v>
      </c>
      <c r="K150" s="8" t="n">
        <v>42975.6972597801</v>
      </c>
      <c r="L150" s="6" t="s">
        <v>15</v>
      </c>
      <c r="M150" s="6"/>
      <c r="N150" s="6"/>
      <c r="O150" s="6"/>
      <c r="P150" s="6" t="s">
        <v>29</v>
      </c>
      <c r="Q150" s="0" t="n">
        <f>TODAY()-j150</f>
        <v>294.30274021990044</v>
      </c>
      <c r="R150" t="str">
        <f>VLOOKUP(A150,'Last Week'!A4:I397,7,FALSE)</f>
        <v>CLOSED</v>
      </c>
    </row>
    <row collapsed="false" customFormat="false" customHeight="true" hidden="false" ht="23.85" outlineLevel="0" r="151">
      <c r="A151" s="6" t="s">
        <v>398</v>
      </c>
      <c r="B151" s="6" t="s">
        <v>399</v>
      </c>
      <c r="C151" s="6"/>
      <c r="D151" s="6" t="s">
        <v>400</v>
      </c>
      <c r="E151" s="6" t="s">
        <v>401</v>
      </c>
      <c r="F151" s="6"/>
      <c r="G151" s="6" t="s">
        <v>14</v>
      </c>
      <c r="H151" s="7" t="n">
        <v>42977.4565162732</v>
      </c>
      <c r="I151" s="8" t="n">
        <v>42977.4565162732</v>
      </c>
      <c r="J151" s="7" t="n">
        <v>42976.469896088</v>
      </c>
      <c r="K151" s="8" t="n">
        <v>42976.469896088</v>
      </c>
      <c r="L151" s="6" t="s">
        <v>15</v>
      </c>
      <c r="M151" s="6"/>
      <c r="N151" s="6"/>
      <c r="O151" s="6"/>
      <c r="P151" s="6" t="s">
        <v>46</v>
      </c>
      <c r="Q151" s="0" t="n">
        <f>TODAY()-j151</f>
        <v>293.53010391200223</v>
      </c>
      <c r="R151" t="str">
        <f>VLOOKUP(A151,'Last Week'!A4:I397,7,FALSE)</f>
        <v>CLOSED</v>
      </c>
    </row>
    <row collapsed="false" customFormat="false" customHeight="true" hidden="false" ht="23.85" outlineLevel="0" r="152">
      <c r="A152" s="6" t="s">
        <v>402</v>
      </c>
      <c r="B152" s="6" t="s">
        <v>403</v>
      </c>
      <c r="C152" s="6"/>
      <c r="D152" s="6" t="s">
        <v>385</v>
      </c>
      <c r="E152" s="6" t="s">
        <v>13</v>
      </c>
      <c r="F152" s="6"/>
      <c r="G152" s="6" t="s">
        <v>14</v>
      </c>
      <c r="H152" s="7" t="n">
        <v>42979.3776845255</v>
      </c>
      <c r="I152" s="8" t="n">
        <v>42979.3776845255</v>
      </c>
      <c r="J152" s="7" t="n">
        <v>42978.5873087963</v>
      </c>
      <c r="K152" s="8" t="n">
        <v>42978.5873087963</v>
      </c>
      <c r="L152" s="6" t="s">
        <v>15</v>
      </c>
      <c r="M152" s="6"/>
      <c r="N152" s="6"/>
      <c r="O152" s="6"/>
      <c r="P152" s="6" t="s">
        <v>29</v>
      </c>
      <c r="Q152" s="0" t="n">
        <f>TODAY()-j152</f>
        <v>291.4126912037027</v>
      </c>
      <c r="R152" t="str">
        <f>VLOOKUP(A152,'Last Week'!A4:I397,7,FALSE)</f>
        <v>CLOSED</v>
      </c>
    </row>
    <row collapsed="false" customFormat="false" customHeight="true" hidden="false" ht="23.85" outlineLevel="0" r="153">
      <c r="A153" s="6" t="s">
        <v>404</v>
      </c>
      <c r="B153" s="6" t="s">
        <v>405</v>
      </c>
      <c r="C153" s="6"/>
      <c r="D153" s="6" t="s">
        <v>154</v>
      </c>
      <c r="E153" s="6" t="s">
        <v>55</v>
      </c>
      <c r="F153" s="6"/>
      <c r="G153" s="6" t="s">
        <v>14</v>
      </c>
      <c r="H153" s="7" t="n">
        <v>42982.4691129051</v>
      </c>
      <c r="I153" s="8" t="n">
        <v>42982.4691129051</v>
      </c>
      <c r="J153" s="7" t="n">
        <v>42978.7471365046</v>
      </c>
      <c r="K153" s="8" t="n">
        <v>42978.7471365046</v>
      </c>
      <c r="L153" s="6" t="s">
        <v>15</v>
      </c>
      <c r="M153" s="6"/>
      <c r="N153" s="6"/>
      <c r="O153" s="6"/>
      <c r="P153" s="6" t="s">
        <v>46</v>
      </c>
      <c r="Q153" s="0" t="n">
        <f>TODAY()-j153</f>
        <v>291.25286349539965</v>
      </c>
      <c r="R153" t="str">
        <f>VLOOKUP(A153,'Last Week'!A4:I397,7,FALSE)</f>
        <v>CLOSED</v>
      </c>
    </row>
    <row collapsed="false" customFormat="false" customHeight="true" hidden="false" ht="46.25" outlineLevel="0" r="154">
      <c r="A154" s="6" t="s">
        <v>406</v>
      </c>
      <c r="B154" s="6" t="s">
        <v>407</v>
      </c>
      <c r="C154" s="6"/>
      <c r="D154" s="6" t="s">
        <v>408</v>
      </c>
      <c r="E154" s="6" t="s">
        <v>28</v>
      </c>
      <c r="F154" s="6"/>
      <c r="G154" s="6" t="s">
        <v>14</v>
      </c>
      <c r="H154" s="7" t="n">
        <v>42984.3338524537</v>
      </c>
      <c r="I154" s="8" t="n">
        <v>42984.3338524537</v>
      </c>
      <c r="J154" s="7" t="n">
        <v>42979.8320475</v>
      </c>
      <c r="K154" s="8" t="n">
        <v>42979.8320475</v>
      </c>
      <c r="L154" s="6" t="s">
        <v>15</v>
      </c>
      <c r="M154" s="6"/>
      <c r="N154" s="6"/>
      <c r="O154" s="6"/>
      <c r="P154" s="6" t="s">
        <v>58</v>
      </c>
      <c r="Q154" s="0" t="n">
        <f>TODAY()-j154</f>
        <v>290.16795249999996</v>
      </c>
      <c r="R154" t="str">
        <f>VLOOKUP(A154,'Last Week'!A4:I397,7,FALSE)</f>
        <v>CLOSED</v>
      </c>
    </row>
    <row collapsed="false" customFormat="false" customHeight="true" hidden="false" ht="23.85" outlineLevel="0" r="155">
      <c r="A155" s="6" t="s">
        <v>409</v>
      </c>
      <c r="B155" s="6" t="s">
        <v>197</v>
      </c>
      <c r="C155" s="6"/>
      <c r="D155" s="6" t="s">
        <v>54</v>
      </c>
      <c r="E155" s="6" t="s">
        <v>81</v>
      </c>
      <c r="F155" s="6"/>
      <c r="G155" s="6" t="s">
        <v>14</v>
      </c>
      <c r="H155" s="7" t="n">
        <v>42984.3338583449</v>
      </c>
      <c r="I155" s="8" t="n">
        <v>42984.3338583449</v>
      </c>
      <c r="J155" s="7" t="n">
        <v>42982.4818130208</v>
      </c>
      <c r="K155" s="8" t="n">
        <v>42982.4818130208</v>
      </c>
      <c r="L155" s="6" t="s">
        <v>15</v>
      </c>
      <c r="M155" s="6"/>
      <c r="N155" s="6"/>
      <c r="O155" s="6"/>
      <c r="P155" s="6" t="s">
        <v>58</v>
      </c>
      <c r="Q155" s="0" t="n">
        <f>TODAY()-j155</f>
        <v>287.5181869791995</v>
      </c>
      <c r="R155" t="str">
        <f>VLOOKUP(A155,'Last Week'!A4:I397,7,FALSE)</f>
        <v>CLOSED</v>
      </c>
    </row>
    <row collapsed="false" customFormat="false" customHeight="true" hidden="false" ht="23.85" outlineLevel="0" r="156">
      <c r="A156" s="6" t="s">
        <v>410</v>
      </c>
      <c r="B156" s="6" t="s">
        <v>411</v>
      </c>
      <c r="C156" s="6"/>
      <c r="D156" s="6" t="s">
        <v>54</v>
      </c>
      <c r="E156" s="6" t="s">
        <v>81</v>
      </c>
      <c r="F156" s="6"/>
      <c r="G156" s="6" t="s">
        <v>14</v>
      </c>
      <c r="H156" s="7" t="n">
        <v>42982.6818045139</v>
      </c>
      <c r="I156" s="8" t="n">
        <v>42982.6818045139</v>
      </c>
      <c r="J156" s="7" t="n">
        <v>42982.4960452083</v>
      </c>
      <c r="K156" s="8" t="n">
        <v>42982.4960452083</v>
      </c>
      <c r="L156" s="6" t="s">
        <v>15</v>
      </c>
      <c r="M156" s="6"/>
      <c r="N156" s="6"/>
      <c r="O156" s="6"/>
      <c r="P156" s="6" t="s">
        <v>58</v>
      </c>
      <c r="Q156" s="0" t="n">
        <f>TODAY()-j156</f>
        <v>287.50395479169674</v>
      </c>
      <c r="R156" t="str">
        <f>VLOOKUP(A156,'Last Week'!A4:I397,7,FALSE)</f>
        <v>CLOSED</v>
      </c>
    </row>
    <row collapsed="false" customFormat="false" customHeight="true" hidden="false" ht="23.85" outlineLevel="0" r="157">
      <c r="A157" s="6" t="s">
        <v>412</v>
      </c>
      <c r="B157" s="6" t="s">
        <v>413</v>
      </c>
      <c r="C157" s="6"/>
      <c r="D157" s="6" t="s">
        <v>414</v>
      </c>
      <c r="E157" s="6" t="s">
        <v>41</v>
      </c>
      <c r="F157" s="6"/>
      <c r="G157" s="6" t="s">
        <v>14</v>
      </c>
      <c r="H157" s="7" t="n">
        <v>42988.5667509722</v>
      </c>
      <c r="I157" s="8" t="n">
        <v>42988.5667509722</v>
      </c>
      <c r="J157" s="7" t="n">
        <v>42983.7587687384</v>
      </c>
      <c r="K157" s="8" t="n">
        <v>42983.7587687384</v>
      </c>
      <c r="L157" s="6" t="s">
        <v>15</v>
      </c>
      <c r="M157" s="6"/>
      <c r="N157" s="6"/>
      <c r="O157" s="6"/>
      <c r="P157" s="6" t="s">
        <v>46</v>
      </c>
      <c r="Q157" s="0" t="n">
        <f>TODAY()-j157</f>
        <v>286.24123126159975</v>
      </c>
      <c r="R157" t="str">
        <f>VLOOKUP(A157,'Last Week'!A4:I397,7,FALSE)</f>
        <v>CLOSED</v>
      </c>
    </row>
    <row collapsed="false" customFormat="false" customHeight="true" hidden="false" ht="23.85" outlineLevel="0" r="158">
      <c r="A158" s="6" t="s">
        <v>415</v>
      </c>
      <c r="B158" s="6" t="s">
        <v>48</v>
      </c>
      <c r="C158" s="6"/>
      <c r="D158" s="6" t="s">
        <v>416</v>
      </c>
      <c r="E158" s="6" t="s">
        <v>72</v>
      </c>
      <c r="F158" s="6"/>
      <c r="G158" s="6" t="s">
        <v>14</v>
      </c>
      <c r="H158" s="7" t="n">
        <v>42985.4294011227</v>
      </c>
      <c r="I158" s="8" t="n">
        <v>42985.4294011227</v>
      </c>
      <c r="J158" s="7" t="n">
        <v>42984.412501713</v>
      </c>
      <c r="K158" s="8" t="n">
        <v>42984.412501713</v>
      </c>
      <c r="L158" s="6" t="s">
        <v>15</v>
      </c>
      <c r="M158" s="6"/>
      <c r="N158" s="6"/>
      <c r="O158" s="6"/>
      <c r="P158" s="6" t="s">
        <v>29</v>
      </c>
      <c r="Q158" s="0" t="n">
        <f>TODAY()-j158</f>
        <v>285.5874982870009</v>
      </c>
      <c r="R158" t="str">
        <f>VLOOKUP(A158,'Last Week'!A4:I397,7,FALSE)</f>
        <v>CLOSED</v>
      </c>
    </row>
    <row collapsed="false" customFormat="false" customHeight="true" hidden="false" ht="23.85" outlineLevel="0" r="159">
      <c r="A159" s="6" t="s">
        <v>417</v>
      </c>
      <c r="B159" s="6" t="s">
        <v>418</v>
      </c>
      <c r="C159" s="6"/>
      <c r="D159" s="6" t="s">
        <v>54</v>
      </c>
      <c r="E159" s="6" t="s">
        <v>81</v>
      </c>
      <c r="F159" s="6"/>
      <c r="G159" s="6" t="s">
        <v>14</v>
      </c>
      <c r="H159" s="7" t="n">
        <v>42996.6246243866</v>
      </c>
      <c r="I159" s="8" t="n">
        <v>42996.6246243866</v>
      </c>
      <c r="J159" s="7" t="n">
        <v>42984.442776713</v>
      </c>
      <c r="K159" s="8" t="n">
        <v>42984.442776713</v>
      </c>
      <c r="L159" s="6" t="s">
        <v>15</v>
      </c>
      <c r="M159" s="6"/>
      <c r="N159" s="6"/>
      <c r="O159" s="6"/>
      <c r="P159" s="6" t="s">
        <v>46</v>
      </c>
      <c r="Q159" s="0" t="n">
        <f>TODAY()-j159</f>
        <v>285.5572232870036</v>
      </c>
      <c r="R159" t="str">
        <f>VLOOKUP(A159,'Last Week'!A4:I397,7,FALSE)</f>
        <v>CLOSED</v>
      </c>
    </row>
    <row collapsed="false" customFormat="false" customHeight="true" hidden="false" ht="23.85" outlineLevel="0" r="160">
      <c r="A160" s="6" t="s">
        <v>419</v>
      </c>
      <c r="B160" s="6" t="s">
        <v>420</v>
      </c>
      <c r="C160" s="6"/>
      <c r="D160" s="6" t="s">
        <v>421</v>
      </c>
      <c r="E160" s="6" t="s">
        <v>20</v>
      </c>
      <c r="F160" s="6"/>
      <c r="G160" s="6" t="s">
        <v>14</v>
      </c>
      <c r="H160" s="7" t="n">
        <v>42986.3934810069</v>
      </c>
      <c r="I160" s="8" t="n">
        <v>42986.3934810069</v>
      </c>
      <c r="J160" s="7" t="n">
        <v>42985.4884813773</v>
      </c>
      <c r="K160" s="8" t="n">
        <v>42985.4884813773</v>
      </c>
      <c r="L160" s="6" t="s">
        <v>15</v>
      </c>
      <c r="M160" s="6"/>
      <c r="N160" s="6"/>
      <c r="O160" s="6"/>
      <c r="P160" s="6" t="s">
        <v>46</v>
      </c>
      <c r="Q160" s="0" t="n">
        <f>TODAY()-j160</f>
        <v>284.5115186226976</v>
      </c>
      <c r="R160" t="str">
        <f>VLOOKUP(A160,'Last Week'!A4:I397,7,FALSE)</f>
        <v>CLOSED</v>
      </c>
    </row>
    <row collapsed="false" customFormat="false" customHeight="true" hidden="false" ht="23.85" outlineLevel="0" r="161">
      <c r="A161" s="6" t="s">
        <v>422</v>
      </c>
      <c r="B161" s="6" t="s">
        <v>48</v>
      </c>
      <c r="C161" s="6"/>
      <c r="D161" s="6" t="s">
        <v>416</v>
      </c>
      <c r="E161" s="6" t="s">
        <v>72</v>
      </c>
      <c r="F161" s="6"/>
      <c r="G161" s="6" t="s">
        <v>14</v>
      </c>
      <c r="H161" s="7" t="n">
        <v>42987.1672722685</v>
      </c>
      <c r="I161" s="8" t="n">
        <v>42987.1672722685</v>
      </c>
      <c r="J161" s="7" t="n">
        <v>42985.6047099421</v>
      </c>
      <c r="K161" s="8" t="n">
        <v>42985.6047099421</v>
      </c>
      <c r="L161" s="6" t="s">
        <v>15</v>
      </c>
      <c r="M161" s="6"/>
      <c r="N161" s="6"/>
      <c r="O161" s="6"/>
      <c r="P161" s="6" t="s">
        <v>46</v>
      </c>
      <c r="Q161" s="0" t="n">
        <f>TODAY()-j161</f>
        <v>284.39529005790246</v>
      </c>
      <c r="R161" t="str">
        <f>VLOOKUP(A161,'Last Week'!A4:I397,7,FALSE)</f>
        <v>CLOSED</v>
      </c>
    </row>
    <row collapsed="false" customFormat="false" customHeight="true" hidden="false" ht="23.85" outlineLevel="0" r="162">
      <c r="A162" s="6" t="s">
        <v>423</v>
      </c>
      <c r="B162" s="6" t="s">
        <v>424</v>
      </c>
      <c r="C162" s="6"/>
      <c r="D162" s="6" t="s">
        <v>425</v>
      </c>
      <c r="E162" s="6" t="s">
        <v>72</v>
      </c>
      <c r="F162" s="6"/>
      <c r="G162" s="6" t="s">
        <v>14</v>
      </c>
      <c r="H162" s="7" t="n">
        <v>42985.6958910185</v>
      </c>
      <c r="I162" s="8" t="n">
        <v>42985.6958910185</v>
      </c>
      <c r="J162" s="7" t="n">
        <v>42985.6066564815</v>
      </c>
      <c r="K162" s="8" t="n">
        <v>42985.6066564815</v>
      </c>
      <c r="L162" s="6" t="s">
        <v>15</v>
      </c>
      <c r="M162" s="6"/>
      <c r="N162" s="6"/>
      <c r="O162" s="6"/>
      <c r="P162" s="6" t="s">
        <v>46</v>
      </c>
      <c r="Q162" s="0" t="n">
        <f>TODAY()-j162</f>
        <v>284.39334351850266</v>
      </c>
      <c r="R162" t="str">
        <f>VLOOKUP(A162,'Last Week'!A4:I397,7,FALSE)</f>
        <v>CLOSED</v>
      </c>
    </row>
    <row collapsed="false" customFormat="false" customHeight="true" hidden="false" ht="35.05" outlineLevel="0" r="163">
      <c r="A163" s="6" t="s">
        <v>426</v>
      </c>
      <c r="B163" s="6" t="s">
        <v>427</v>
      </c>
      <c r="C163" s="6"/>
      <c r="D163" s="6" t="s">
        <v>140</v>
      </c>
      <c r="E163" s="6" t="s">
        <v>28</v>
      </c>
      <c r="F163" s="6"/>
      <c r="G163" s="6" t="s">
        <v>14</v>
      </c>
      <c r="H163" s="7" t="n">
        <v>42988.8755214931</v>
      </c>
      <c r="I163" s="8" t="n">
        <v>42988.8755214931</v>
      </c>
      <c r="J163" s="7" t="n">
        <v>42985.85483625</v>
      </c>
      <c r="K163" s="8" t="n">
        <v>42985.85483625</v>
      </c>
      <c r="L163" s="6" t="s">
        <v>15</v>
      </c>
      <c r="M163" s="6"/>
      <c r="N163" s="6"/>
      <c r="O163" s="6"/>
      <c r="P163" s="6" t="s">
        <v>16</v>
      </c>
      <c r="Q163" s="0" t="n">
        <f>TODAY()-j163</f>
        <v>284.1451637499995</v>
      </c>
      <c r="R163" t="str">
        <f>VLOOKUP(A163,'Last Week'!A4:I397,7,FALSE)</f>
        <v>CLOSED</v>
      </c>
    </row>
    <row collapsed="false" customFormat="false" customHeight="true" hidden="false" ht="23.85" outlineLevel="0" r="164">
      <c r="A164" s="6" t="s">
        <v>428</v>
      </c>
      <c r="B164" s="6" t="s">
        <v>429</v>
      </c>
      <c r="C164" s="6"/>
      <c r="D164" s="6" t="s">
        <v>430</v>
      </c>
      <c r="E164" s="6" t="s">
        <v>175</v>
      </c>
      <c r="F164" s="6"/>
      <c r="G164" s="6" t="s">
        <v>14</v>
      </c>
      <c r="H164" s="7" t="n">
        <v>42989.6084262732</v>
      </c>
      <c r="I164" s="8" t="n">
        <v>42989.6084262732</v>
      </c>
      <c r="J164" s="7" t="n">
        <v>42985.9255281366</v>
      </c>
      <c r="K164" s="8" t="n">
        <v>42985.9255281366</v>
      </c>
      <c r="L164" s="6" t="s">
        <v>15</v>
      </c>
      <c r="M164" s="6"/>
      <c r="N164" s="6"/>
      <c r="O164" s="6"/>
      <c r="P164" s="6" t="s">
        <v>46</v>
      </c>
      <c r="Q164" s="0" t="n">
        <f>TODAY()-j164</f>
        <v>284.0744718634014</v>
      </c>
      <c r="R164" t="str">
        <f>VLOOKUP(A164,'Last Week'!A4:I397,7,FALSE)</f>
        <v>CLOSED</v>
      </c>
    </row>
    <row collapsed="false" customFormat="false" customHeight="true" hidden="false" ht="35.05" outlineLevel="0" r="165">
      <c r="A165" s="6" t="s">
        <v>431</v>
      </c>
      <c r="B165" s="6" t="s">
        <v>432</v>
      </c>
      <c r="C165" s="6"/>
      <c r="D165" s="6" t="s">
        <v>154</v>
      </c>
      <c r="E165" s="6" t="s">
        <v>28</v>
      </c>
      <c r="F165" s="6"/>
      <c r="G165" s="6" t="s">
        <v>14</v>
      </c>
      <c r="H165" s="7" t="n">
        <v>42993.1672192708</v>
      </c>
      <c r="I165" s="8" t="n">
        <v>42993.1672192708</v>
      </c>
      <c r="J165" s="7" t="n">
        <v>42986.8266185185</v>
      </c>
      <c r="K165" s="8" t="n">
        <v>42986.8266185185</v>
      </c>
      <c r="L165" s="6" t="s">
        <v>15</v>
      </c>
      <c r="M165" s="6"/>
      <c r="N165" s="6"/>
      <c r="O165" s="6"/>
      <c r="P165" s="6" t="s">
        <v>46</v>
      </c>
      <c r="Q165" s="0" t="n">
        <f>TODAY()-j165</f>
        <v>283.17338148150156</v>
      </c>
      <c r="R165" t="str">
        <f>VLOOKUP(A165,'Last Week'!A4:I397,7,FALSE)</f>
        <v>CLOSED</v>
      </c>
    </row>
    <row collapsed="false" customFormat="false" customHeight="true" hidden="false" ht="23.85" outlineLevel="0" r="166">
      <c r="A166" s="6" t="s">
        <v>433</v>
      </c>
      <c r="B166" s="6" t="s">
        <v>434</v>
      </c>
      <c r="C166" s="6"/>
      <c r="D166" s="6" t="s">
        <v>435</v>
      </c>
      <c r="E166" s="6" t="s">
        <v>215</v>
      </c>
      <c r="F166" s="6"/>
      <c r="G166" s="6" t="s">
        <v>14</v>
      </c>
      <c r="H166" s="7" t="n">
        <v>42991.3714436806</v>
      </c>
      <c r="I166" s="8" t="n">
        <v>42991.3714436806</v>
      </c>
      <c r="J166" s="7" t="n">
        <v>42989.6397233102</v>
      </c>
      <c r="K166" s="8" t="n">
        <v>42989.6397233102</v>
      </c>
      <c r="L166" s="6" t="s">
        <v>15</v>
      </c>
      <c r="M166" s="6"/>
      <c r="N166" s="6"/>
      <c r="O166" s="6"/>
      <c r="P166" s="6" t="s">
        <v>16</v>
      </c>
      <c r="Q166" s="0" t="n">
        <f>TODAY()-j166</f>
        <v>280.3602766897966</v>
      </c>
      <c r="R166" t="str">
        <f>VLOOKUP(A166,'Last Week'!A4:I397,7,FALSE)</f>
        <v>CLOSED</v>
      </c>
    </row>
    <row collapsed="false" customFormat="false" customHeight="true" hidden="false" ht="23.85" outlineLevel="0" r="167">
      <c r="A167" s="6" t="s">
        <v>436</v>
      </c>
      <c r="B167" s="6" t="s">
        <v>437</v>
      </c>
      <c r="C167" s="6"/>
      <c r="D167" s="6" t="s">
        <v>140</v>
      </c>
      <c r="E167" s="6" t="s">
        <v>81</v>
      </c>
      <c r="F167" s="6"/>
      <c r="G167" s="6" t="s">
        <v>14</v>
      </c>
      <c r="H167" s="7" t="n">
        <v>42991.5390404167</v>
      </c>
      <c r="I167" s="8" t="n">
        <v>42991.5390404167</v>
      </c>
      <c r="J167" s="7" t="n">
        <v>42990.506422662</v>
      </c>
      <c r="K167" s="8" t="n">
        <v>42990.506422662</v>
      </c>
      <c r="L167" s="6" t="s">
        <v>15</v>
      </c>
      <c r="M167" s="6"/>
      <c r="N167" s="6"/>
      <c r="O167" s="6"/>
      <c r="P167" s="6" t="s">
        <v>16</v>
      </c>
      <c r="Q167" s="0" t="n">
        <f>TODAY()-j167</f>
        <v>279.49357733799843</v>
      </c>
      <c r="R167" t="str">
        <f>VLOOKUP(A167,'Last Week'!A4:I397,7,FALSE)</f>
        <v>CLOSED</v>
      </c>
    </row>
    <row collapsed="false" customFormat="false" customHeight="true" hidden="false" ht="23.85" outlineLevel="0" r="168">
      <c r="A168" s="6" t="s">
        <v>438</v>
      </c>
      <c r="B168" s="6" t="s">
        <v>439</v>
      </c>
      <c r="C168" s="6"/>
      <c r="D168" s="6" t="s">
        <v>240</v>
      </c>
      <c r="E168" s="6" t="s">
        <v>240</v>
      </c>
      <c r="F168" s="6"/>
      <c r="G168" s="6" t="s">
        <v>14</v>
      </c>
      <c r="H168" s="7" t="n">
        <v>42996.0839173495</v>
      </c>
      <c r="I168" s="8" t="n">
        <v>42996.0839173495</v>
      </c>
      <c r="J168" s="7" t="n">
        <v>42990.5431831019</v>
      </c>
      <c r="K168" s="8" t="n">
        <v>42990.5431831019</v>
      </c>
      <c r="L168" s="6" t="s">
        <v>15</v>
      </c>
      <c r="M168" s="6"/>
      <c r="N168" s="6"/>
      <c r="O168" s="6"/>
      <c r="P168" s="6" t="s">
        <v>46</v>
      </c>
      <c r="Q168" s="0" t="n">
        <f>TODAY()-j168</f>
        <v>279.4568168980986</v>
      </c>
      <c r="R168" t="str">
        <f>VLOOKUP(A168,'Last Week'!A4:I397,7,FALSE)</f>
        <v>CLOSED</v>
      </c>
    </row>
    <row collapsed="false" customFormat="false" customHeight="true" hidden="false" ht="23.85" outlineLevel="0" r="169">
      <c r="A169" s="6" t="s">
        <v>440</v>
      </c>
      <c r="B169" s="6" t="s">
        <v>441</v>
      </c>
      <c r="C169" s="6"/>
      <c r="D169" s="6" t="s">
        <v>442</v>
      </c>
      <c r="E169" s="6" t="s">
        <v>20</v>
      </c>
      <c r="F169" s="6"/>
      <c r="G169" s="6" t="s">
        <v>14</v>
      </c>
      <c r="H169" s="7" t="n">
        <v>43058.4444007407</v>
      </c>
      <c r="I169" s="8" t="n">
        <v>43058.4444007407</v>
      </c>
      <c r="J169" s="7" t="n">
        <v>42991.4491967708</v>
      </c>
      <c r="K169" s="8" t="n">
        <v>42991.4491967708</v>
      </c>
      <c r="L169" s="6" t="s">
        <v>15</v>
      </c>
      <c r="M169" s="6"/>
      <c r="N169" s="6"/>
      <c r="O169" s="6"/>
      <c r="P169" s="6" t="s">
        <v>16</v>
      </c>
      <c r="Q169" s="0" t="n">
        <f>TODAY()-j169</f>
        <v>278.5508032291982</v>
      </c>
      <c r="R169" t="str">
        <f>VLOOKUP(A169,'Last Week'!A4:I397,7,FALSE)</f>
        <v>CLOSED</v>
      </c>
    </row>
    <row collapsed="false" customFormat="false" customHeight="true" hidden="false" ht="23.85" outlineLevel="0" r="170">
      <c r="A170" s="6" t="s">
        <v>443</v>
      </c>
      <c r="B170" s="6" t="s">
        <v>444</v>
      </c>
      <c r="C170" s="6"/>
      <c r="D170" s="6" t="s">
        <v>445</v>
      </c>
      <c r="E170" s="6" t="s">
        <v>72</v>
      </c>
      <c r="F170" s="6"/>
      <c r="G170" s="6" t="s">
        <v>14</v>
      </c>
      <c r="H170" s="7" t="n">
        <v>42995.7197503125</v>
      </c>
      <c r="I170" s="8" t="n">
        <v>42995.7197503125</v>
      </c>
      <c r="J170" s="7" t="n">
        <v>42991.6036685301</v>
      </c>
      <c r="K170" s="8" t="n">
        <v>42991.6036685301</v>
      </c>
      <c r="L170" s="6" t="s">
        <v>15</v>
      </c>
      <c r="M170" s="6"/>
      <c r="N170" s="6"/>
      <c r="O170" s="6"/>
      <c r="P170" s="6" t="s">
        <v>16</v>
      </c>
      <c r="Q170" s="0" t="n">
        <f>TODAY()-j170</f>
        <v>278.39633146989945</v>
      </c>
      <c r="R170" t="str">
        <f>VLOOKUP(A170,'Last Week'!A4:I397,7,FALSE)</f>
        <v>CLOSED</v>
      </c>
    </row>
    <row collapsed="false" customFormat="false" customHeight="true" hidden="false" ht="23.85" outlineLevel="0" r="171">
      <c r="A171" s="6" t="s">
        <v>446</v>
      </c>
      <c r="B171" s="6" t="s">
        <v>447</v>
      </c>
      <c r="C171" s="6"/>
      <c r="D171" s="6" t="s">
        <v>448</v>
      </c>
      <c r="E171" s="6" t="s">
        <v>41</v>
      </c>
      <c r="F171" s="6"/>
      <c r="G171" s="6" t="s">
        <v>14</v>
      </c>
      <c r="H171" s="7" t="n">
        <v>42996.6850865856</v>
      </c>
      <c r="I171" s="8" t="n">
        <v>42996.6850865856</v>
      </c>
      <c r="J171" s="7" t="n">
        <v>42992.8215478935</v>
      </c>
      <c r="K171" s="8" t="n">
        <v>42992.8215478935</v>
      </c>
      <c r="L171" s="6" t="s">
        <v>15</v>
      </c>
      <c r="M171" s="6"/>
      <c r="N171" s="6"/>
      <c r="O171" s="6"/>
      <c r="P171" s="6" t="s">
        <v>46</v>
      </c>
      <c r="Q171" s="0" t="n">
        <f>TODAY()-j171</f>
        <v>277.1784521064983</v>
      </c>
      <c r="R171" t="str">
        <f>VLOOKUP(A171,'Last Week'!A4:I397,7,FALSE)</f>
        <v>CLOSED</v>
      </c>
    </row>
    <row collapsed="false" customFormat="false" customHeight="true" hidden="false" ht="23.85" outlineLevel="0" r="172">
      <c r="A172" s="6" t="s">
        <v>449</v>
      </c>
      <c r="B172" s="6" t="s">
        <v>450</v>
      </c>
      <c r="C172" s="6"/>
      <c r="D172" s="6" t="s">
        <v>154</v>
      </c>
      <c r="E172" s="6" t="s">
        <v>28</v>
      </c>
      <c r="F172" s="6"/>
      <c r="G172" s="6" t="s">
        <v>14</v>
      </c>
      <c r="H172" s="7" t="n">
        <v>43000.7595150116</v>
      </c>
      <c r="I172" s="8" t="n">
        <v>43000.7595150116</v>
      </c>
      <c r="J172" s="7" t="n">
        <v>42992.8239102315</v>
      </c>
      <c r="K172" s="8" t="n">
        <v>42992.8239102315</v>
      </c>
      <c r="L172" s="6" t="s">
        <v>15</v>
      </c>
      <c r="M172" s="6"/>
      <c r="N172" s="6"/>
      <c r="O172" s="6"/>
      <c r="P172" s="6" t="s">
        <v>46</v>
      </c>
      <c r="Q172" s="0" t="n">
        <f>TODAY()-j172</f>
        <v>277.1760897685017</v>
      </c>
      <c r="R172" t="str">
        <f>VLOOKUP(A172,'Last Week'!A4:I397,7,FALSE)</f>
        <v>CLOSED</v>
      </c>
    </row>
    <row collapsed="false" customFormat="false" customHeight="true" hidden="false" ht="35.05" outlineLevel="0" r="173">
      <c r="A173" s="6" t="s">
        <v>451</v>
      </c>
      <c r="B173" s="6" t="s">
        <v>452</v>
      </c>
      <c r="C173" s="6"/>
      <c r="D173" s="6" t="s">
        <v>61</v>
      </c>
      <c r="E173" s="6" t="s">
        <v>175</v>
      </c>
      <c r="F173" s="6"/>
      <c r="G173" s="6" t="s">
        <v>14</v>
      </c>
      <c r="H173" s="7" t="n">
        <v>42995.9588665278</v>
      </c>
      <c r="I173" s="8" t="n">
        <v>42995.9588665278</v>
      </c>
      <c r="J173" s="7" t="n">
        <v>42992.828112338</v>
      </c>
      <c r="K173" s="8" t="n">
        <v>42992.828112338</v>
      </c>
      <c r="L173" s="6" t="s">
        <v>15</v>
      </c>
      <c r="M173" s="6"/>
      <c r="N173" s="6"/>
      <c r="O173" s="6"/>
      <c r="P173" s="6" t="s">
        <v>16</v>
      </c>
      <c r="Q173" s="0" t="n">
        <f>TODAY()-j173</f>
        <v>277.1718876619998</v>
      </c>
      <c r="R173" t="str">
        <f>VLOOKUP(A173,'Last Week'!A4:I397,7,FALSE)</f>
        <v>CLOSED</v>
      </c>
    </row>
    <row collapsed="false" customFormat="false" customHeight="true" hidden="false" ht="23.85" outlineLevel="0" r="174">
      <c r="A174" s="6" t="s">
        <v>453</v>
      </c>
      <c r="B174" s="6" t="s">
        <v>454</v>
      </c>
      <c r="C174" s="6"/>
      <c r="D174" s="6" t="s">
        <v>455</v>
      </c>
      <c r="E174" s="6" t="s">
        <v>28</v>
      </c>
      <c r="F174" s="6"/>
      <c r="G174" s="6" t="s">
        <v>14</v>
      </c>
      <c r="H174" s="7" t="n">
        <v>42998.0847805324</v>
      </c>
      <c r="I174" s="8" t="n">
        <v>42998.0847805324</v>
      </c>
      <c r="J174" s="7" t="n">
        <v>42992.9584274074</v>
      </c>
      <c r="K174" s="8" t="n">
        <v>42992.9584274074</v>
      </c>
      <c r="L174" s="6" t="s">
        <v>15</v>
      </c>
      <c r="M174" s="6"/>
      <c r="N174" s="6"/>
      <c r="O174" s="6"/>
      <c r="P174" s="6" t="s">
        <v>16</v>
      </c>
      <c r="Q174" s="0" t="n">
        <f>TODAY()-j174</f>
        <v>277.04157259259955</v>
      </c>
      <c r="R174" t="str">
        <f>VLOOKUP(A174,'Last Week'!A4:I397,7,FALSE)</f>
        <v>CLOSED</v>
      </c>
    </row>
    <row collapsed="false" customFormat="false" customHeight="true" hidden="false" ht="23.85" outlineLevel="0" r="175">
      <c r="A175" s="6" t="s">
        <v>456</v>
      </c>
      <c r="B175" s="6" t="s">
        <v>457</v>
      </c>
      <c r="C175" s="6"/>
      <c r="D175" s="6" t="s">
        <v>458</v>
      </c>
      <c r="E175" s="6" t="s">
        <v>28</v>
      </c>
      <c r="F175" s="6"/>
      <c r="G175" s="6" t="s">
        <v>14</v>
      </c>
      <c r="H175" s="7" t="n">
        <v>42996.4425686921</v>
      </c>
      <c r="I175" s="8" t="n">
        <v>42996.4425686921</v>
      </c>
      <c r="J175" s="7" t="n">
        <v>42993.710660162</v>
      </c>
      <c r="K175" s="8" t="n">
        <v>42993.710660162</v>
      </c>
      <c r="L175" s="6" t="s">
        <v>15</v>
      </c>
      <c r="M175" s="6"/>
      <c r="N175" s="6"/>
      <c r="O175" s="6"/>
      <c r="P175" s="6" t="s">
        <v>46</v>
      </c>
      <c r="Q175" s="0" t="n">
        <f>TODAY()-j175</f>
        <v>276.2893398379965</v>
      </c>
      <c r="R175" t="str">
        <f>VLOOKUP(A175,'Last Week'!A4:I397,7,FALSE)</f>
        <v>CLOSED</v>
      </c>
    </row>
    <row collapsed="false" customFormat="false" customHeight="true" hidden="false" ht="23.85" outlineLevel="0" r="176">
      <c r="A176" s="6" t="s">
        <v>459</v>
      </c>
      <c r="B176" s="6" t="s">
        <v>460</v>
      </c>
      <c r="C176" s="6"/>
      <c r="D176" s="6" t="s">
        <v>461</v>
      </c>
      <c r="E176" s="6" t="s">
        <v>208</v>
      </c>
      <c r="F176" s="6"/>
      <c r="G176" s="6" t="s">
        <v>14</v>
      </c>
      <c r="H176" s="7" t="n">
        <v>42999.0844764005</v>
      </c>
      <c r="I176" s="8" t="n">
        <v>42999.0844764005</v>
      </c>
      <c r="J176" s="7" t="n">
        <v>42996.4945518981</v>
      </c>
      <c r="K176" s="8" t="n">
        <v>42996.4945518981</v>
      </c>
      <c r="L176" s="6" t="s">
        <v>15</v>
      </c>
      <c r="M176" s="6"/>
      <c r="N176" s="6"/>
      <c r="O176" s="6"/>
      <c r="P176" s="6" t="s">
        <v>58</v>
      </c>
      <c r="Q176" s="0" t="n">
        <f>TODAY()-j176</f>
        <v>273.5054481019033</v>
      </c>
      <c r="R176" t="str">
        <f>VLOOKUP(A176,'Last Week'!A4:I397,7,FALSE)</f>
        <v>CLOSED</v>
      </c>
    </row>
    <row collapsed="false" customFormat="false" customHeight="true" hidden="false" ht="23.85" outlineLevel="0" r="177">
      <c r="A177" s="6" t="s">
        <v>462</v>
      </c>
      <c r="B177" s="6" t="s">
        <v>463</v>
      </c>
      <c r="C177" s="6"/>
      <c r="D177" s="6" t="s">
        <v>464</v>
      </c>
      <c r="E177" s="6" t="s">
        <v>215</v>
      </c>
      <c r="F177" s="6"/>
      <c r="G177" s="6" t="s">
        <v>14</v>
      </c>
      <c r="H177" s="7" t="n">
        <v>42997.5278165394</v>
      </c>
      <c r="I177" s="8" t="n">
        <v>42997.5278165394</v>
      </c>
      <c r="J177" s="7" t="n">
        <v>42997.4407713773</v>
      </c>
      <c r="K177" s="8" t="n">
        <v>42997.4407713773</v>
      </c>
      <c r="L177" s="6" t="s">
        <v>15</v>
      </c>
      <c r="M177" s="6"/>
      <c r="N177" s="6"/>
      <c r="O177" s="6"/>
      <c r="P177" s="6" t="s">
        <v>46</v>
      </c>
      <c r="Q177" s="0" t="n">
        <f>TODAY()-j177</f>
        <v>272.55922862269654</v>
      </c>
      <c r="R177" t="str">
        <f>VLOOKUP(A177,'Last Week'!A4:I397,7,FALSE)</f>
        <v>CLOSED</v>
      </c>
    </row>
    <row collapsed="false" customFormat="false" customHeight="true" hidden="false" ht="23.85" outlineLevel="0" r="178">
      <c r="A178" s="6" t="s">
        <v>465</v>
      </c>
      <c r="B178" s="6" t="s">
        <v>466</v>
      </c>
      <c r="C178" s="6"/>
      <c r="D178" s="6" t="s">
        <v>467</v>
      </c>
      <c r="E178" s="6" t="s">
        <v>133</v>
      </c>
      <c r="F178" s="6"/>
      <c r="G178" s="6" t="s">
        <v>14</v>
      </c>
      <c r="H178" s="7" t="n">
        <v>43000.7609580903</v>
      </c>
      <c r="I178" s="8" t="n">
        <v>43000.7609580903</v>
      </c>
      <c r="J178" s="7" t="n">
        <v>42997.9732951505</v>
      </c>
      <c r="K178" s="8" t="n">
        <v>42997.9732951505</v>
      </c>
      <c r="L178" s="6" t="s">
        <v>15</v>
      </c>
      <c r="M178" s="6"/>
      <c r="N178" s="6"/>
      <c r="O178" s="6"/>
      <c r="P178" s="6" t="s">
        <v>46</v>
      </c>
      <c r="Q178" s="0" t="n">
        <f>TODAY()-j178</f>
        <v>272.0267048495007</v>
      </c>
      <c r="R178" t="str">
        <f>VLOOKUP(A178,'Last Week'!A4:I397,7,FALSE)</f>
        <v>CLOSED</v>
      </c>
    </row>
    <row collapsed="false" customFormat="false" customHeight="true" hidden="false" ht="23.85" outlineLevel="0" r="179">
      <c r="A179" s="6" t="s">
        <v>468</v>
      </c>
      <c r="B179" s="6" t="s">
        <v>469</v>
      </c>
      <c r="C179" s="6"/>
      <c r="D179" s="6" t="s">
        <v>470</v>
      </c>
      <c r="E179" s="6" t="s">
        <v>470</v>
      </c>
      <c r="F179" s="6"/>
      <c r="G179" s="6" t="s">
        <v>14</v>
      </c>
      <c r="H179" s="7" t="n">
        <v>43002.7086683796</v>
      </c>
      <c r="I179" s="8" t="n">
        <v>43002.7086683796</v>
      </c>
      <c r="J179" s="7" t="n">
        <v>42998.6950111921</v>
      </c>
      <c r="K179" s="8" t="n">
        <v>42998.6950111921</v>
      </c>
      <c r="L179" s="6" t="s">
        <v>15</v>
      </c>
      <c r="M179" s="6"/>
      <c r="N179" s="6"/>
      <c r="O179" s="6"/>
      <c r="P179" s="6" t="s">
        <v>46</v>
      </c>
      <c r="Q179" s="0" t="n">
        <f>TODAY()-j179</f>
        <v>271.30498880789673</v>
      </c>
      <c r="R179" t="str">
        <f>VLOOKUP(A179,'Last Week'!A4:I397,7,FALSE)</f>
        <v>CLOSED</v>
      </c>
    </row>
    <row collapsed="false" customFormat="false" customHeight="true" hidden="false" ht="35.05" outlineLevel="0" r="180">
      <c r="A180" s="6" t="s">
        <v>471</v>
      </c>
      <c r="B180" s="6" t="s">
        <v>472</v>
      </c>
      <c r="C180" s="6"/>
      <c r="D180" s="6" t="s">
        <v>473</v>
      </c>
      <c r="E180" s="6" t="s">
        <v>20</v>
      </c>
      <c r="F180" s="6"/>
      <c r="G180" s="6" t="s">
        <v>14</v>
      </c>
      <c r="H180" s="7" t="n">
        <v>43026.5320718056</v>
      </c>
      <c r="I180" s="8" t="n">
        <v>43026.5320718056</v>
      </c>
      <c r="J180" s="7" t="n">
        <v>42999.4288978009</v>
      </c>
      <c r="K180" s="8" t="n">
        <v>42999.4288978009</v>
      </c>
      <c r="L180" s="6" t="s">
        <v>15</v>
      </c>
      <c r="M180" s="6"/>
      <c r="N180" s="6"/>
      <c r="O180" s="6"/>
      <c r="P180" s="6" t="s">
        <v>46</v>
      </c>
      <c r="Q180" s="0" t="n">
        <f>TODAY()-j180</f>
        <v>270.571102199101</v>
      </c>
      <c r="R180" t="str">
        <f>VLOOKUP(A180,'Last Week'!A4:I397,7,FALSE)</f>
        <v>CLOSED</v>
      </c>
    </row>
    <row collapsed="false" customFormat="false" customHeight="true" hidden="false" ht="23.85" outlineLevel="0" r="181">
      <c r="A181" s="6" t="s">
        <v>474</v>
      </c>
      <c r="B181" s="6" t="s">
        <v>475</v>
      </c>
      <c r="C181" s="6"/>
      <c r="D181" s="6" t="s">
        <v>476</v>
      </c>
      <c r="E181" s="6" t="s">
        <v>37</v>
      </c>
      <c r="F181" s="6"/>
      <c r="G181" s="6" t="s">
        <v>14</v>
      </c>
      <c r="H181" s="7" t="n">
        <v>43002.7552525463</v>
      </c>
      <c r="I181" s="8" t="n">
        <v>43002.7552525463</v>
      </c>
      <c r="J181" s="7" t="n">
        <v>42999.4811560185</v>
      </c>
      <c r="K181" s="8" t="n">
        <v>42999.4811560185</v>
      </c>
      <c r="L181" s="6" t="s">
        <v>15</v>
      </c>
      <c r="M181" s="6"/>
      <c r="N181" s="6"/>
      <c r="O181" s="6"/>
      <c r="P181" s="6" t="s">
        <v>46</v>
      </c>
      <c r="Q181" s="0" t="n">
        <f>TODAY()-j181</f>
        <v>270.51884398150287</v>
      </c>
      <c r="R181" t="str">
        <f>VLOOKUP(A181,'Last Week'!A4:I397,7,FALSE)</f>
        <v>CLOSED</v>
      </c>
    </row>
    <row collapsed="false" customFormat="false" customHeight="true" hidden="false" ht="35.05" outlineLevel="0" r="182">
      <c r="A182" s="6" t="s">
        <v>477</v>
      </c>
      <c r="B182" s="6" t="s">
        <v>478</v>
      </c>
      <c r="C182" s="6"/>
      <c r="D182" s="6" t="s">
        <v>479</v>
      </c>
      <c r="E182" s="6" t="s">
        <v>33</v>
      </c>
      <c r="F182" s="6"/>
      <c r="G182" s="6" t="s">
        <v>14</v>
      </c>
      <c r="H182" s="7" t="n">
        <v>43008.3553337384</v>
      </c>
      <c r="I182" s="8" t="n">
        <v>43008.3553337384</v>
      </c>
      <c r="J182" s="7" t="n">
        <v>43000.5853100694</v>
      </c>
      <c r="K182" s="8" t="n">
        <v>43000.5853100694</v>
      </c>
      <c r="L182" s="6" t="s">
        <v>15</v>
      </c>
      <c r="M182" s="6"/>
      <c r="N182" s="6"/>
      <c r="O182" s="6"/>
      <c r="P182" s="6" t="s">
        <v>46</v>
      </c>
      <c r="Q182" s="0" t="n">
        <f>TODAY()-j182</f>
        <v>269.4146899305997</v>
      </c>
      <c r="R182" t="str">
        <f>VLOOKUP(A182,'Last Week'!A4:I397,7,FALSE)</f>
        <v>CLOSED</v>
      </c>
    </row>
    <row collapsed="false" customFormat="false" customHeight="true" hidden="false" ht="23.85" outlineLevel="0" r="183">
      <c r="A183" s="6" t="s">
        <v>480</v>
      </c>
      <c r="B183" s="6" t="s">
        <v>481</v>
      </c>
      <c r="C183" s="6"/>
      <c r="D183" s="6" t="s">
        <v>482</v>
      </c>
      <c r="E183" s="6" t="s">
        <v>72</v>
      </c>
      <c r="F183" s="6"/>
      <c r="G183" s="6" t="s">
        <v>14</v>
      </c>
      <c r="H183" s="7" t="n">
        <v>43005.0853544097</v>
      </c>
      <c r="I183" s="8" t="n">
        <v>43005.0853544097</v>
      </c>
      <c r="J183" s="7" t="n">
        <v>43003.4768446644</v>
      </c>
      <c r="K183" s="8" t="n">
        <v>43003.4768446644</v>
      </c>
      <c r="L183" s="6" t="s">
        <v>15</v>
      </c>
      <c r="M183" s="6"/>
      <c r="N183" s="6"/>
      <c r="O183" s="6"/>
      <c r="P183" s="6" t="s">
        <v>58</v>
      </c>
      <c r="Q183" s="0" t="n">
        <f>TODAY()-j183</f>
        <v>266.52315533559886</v>
      </c>
      <c r="R183" t="str">
        <f>VLOOKUP(A183,'Last Week'!A4:I397,7,FALSE)</f>
        <v>CLOSED</v>
      </c>
    </row>
    <row collapsed="false" customFormat="false" customHeight="true" hidden="false" ht="23.85" outlineLevel="0" r="184">
      <c r="A184" s="6" t="s">
        <v>483</v>
      </c>
      <c r="B184" s="6" t="s">
        <v>484</v>
      </c>
      <c r="C184" s="6"/>
      <c r="D184" s="6" t="s">
        <v>476</v>
      </c>
      <c r="E184" s="6" t="s">
        <v>215</v>
      </c>
      <c r="F184" s="6"/>
      <c r="G184" s="6" t="s">
        <v>14</v>
      </c>
      <c r="H184" s="7" t="n">
        <v>43004.7347815741</v>
      </c>
      <c r="I184" s="8" t="n">
        <v>43004.7347815741</v>
      </c>
      <c r="J184" s="7" t="n">
        <v>43003.4982705093</v>
      </c>
      <c r="K184" s="8" t="n">
        <v>43003.4982705093</v>
      </c>
      <c r="L184" s="6" t="s">
        <v>15</v>
      </c>
      <c r="M184" s="6"/>
      <c r="N184" s="6"/>
      <c r="O184" s="6"/>
      <c r="P184" s="6" t="s">
        <v>46</v>
      </c>
      <c r="Q184" s="0" t="n">
        <f>TODAY()-j184</f>
        <v>266.5017294907011</v>
      </c>
      <c r="R184" t="str">
        <f>VLOOKUP(A184,'Last Week'!A4:I397,7,FALSE)</f>
        <v>CLOSED</v>
      </c>
    </row>
    <row collapsed="false" customFormat="false" customHeight="true" hidden="false" ht="23.85" outlineLevel="0" r="185">
      <c r="A185" s="6" t="s">
        <v>485</v>
      </c>
      <c r="B185" s="6" t="s">
        <v>486</v>
      </c>
      <c r="C185" s="6"/>
      <c r="D185" s="6" t="s">
        <v>487</v>
      </c>
      <c r="E185" s="6" t="s">
        <v>115</v>
      </c>
      <c r="F185" s="6"/>
      <c r="G185" s="6" t="s">
        <v>14</v>
      </c>
      <c r="H185" s="7" t="n">
        <v>43005.4515341088</v>
      </c>
      <c r="I185" s="8" t="n">
        <v>43005.4515341088</v>
      </c>
      <c r="J185" s="7" t="n">
        <v>43004.4076530324</v>
      </c>
      <c r="K185" s="8" t="n">
        <v>43004.4076530324</v>
      </c>
      <c r="L185" s="6" t="s">
        <v>15</v>
      </c>
      <c r="M185" s="6"/>
      <c r="N185" s="6"/>
      <c r="O185" s="6"/>
      <c r="P185" s="6" t="s">
        <v>46</v>
      </c>
      <c r="Q185" s="0" t="n">
        <f>TODAY()-j185</f>
        <v>265.59234696759813</v>
      </c>
      <c r="R185" t="str">
        <f>VLOOKUP(A185,'Last Week'!A4:I397,7,FALSE)</f>
        <v>CLOSED</v>
      </c>
    </row>
    <row collapsed="false" customFormat="false" customHeight="true" hidden="false" ht="35.05" outlineLevel="0" r="186">
      <c r="A186" s="6" t="s">
        <v>488</v>
      </c>
      <c r="B186" s="6" t="s">
        <v>489</v>
      </c>
      <c r="C186" s="6"/>
      <c r="D186" s="6" t="s">
        <v>61</v>
      </c>
      <c r="E186" s="6" t="s">
        <v>28</v>
      </c>
      <c r="F186" s="6"/>
      <c r="G186" s="6" t="s">
        <v>14</v>
      </c>
      <c r="H186" s="7" t="n">
        <v>43007.1253609607</v>
      </c>
      <c r="I186" s="8" t="n">
        <v>43007.1253609607</v>
      </c>
      <c r="J186" s="7" t="n">
        <v>43004.9838006019</v>
      </c>
      <c r="K186" s="8" t="n">
        <v>43004.9838006019</v>
      </c>
      <c r="L186" s="6" t="s">
        <v>15</v>
      </c>
      <c r="M186" s="6"/>
      <c r="N186" s="6"/>
      <c r="O186" s="6"/>
      <c r="P186" s="6" t="s">
        <v>16</v>
      </c>
      <c r="Q186" s="0" t="n">
        <f>TODAY()-j186</f>
        <v>265.0161993981019</v>
      </c>
      <c r="R186" t="str">
        <f>VLOOKUP(A186,'Last Week'!A4:I397,7,FALSE)</f>
        <v>CLOSED</v>
      </c>
    </row>
    <row collapsed="false" customFormat="false" customHeight="true" hidden="false" ht="23.85" outlineLevel="0" r="187">
      <c r="A187" s="6" t="s">
        <v>490</v>
      </c>
      <c r="B187" s="6" t="s">
        <v>491</v>
      </c>
      <c r="C187" s="6"/>
      <c r="D187" s="6" t="s">
        <v>492</v>
      </c>
      <c r="E187" s="6" t="s">
        <v>72</v>
      </c>
      <c r="F187" s="6"/>
      <c r="G187" s="6" t="s">
        <v>14</v>
      </c>
      <c r="H187" s="7" t="n">
        <v>43010.3900666088</v>
      </c>
      <c r="I187" s="8" t="n">
        <v>43010.3900666088</v>
      </c>
      <c r="J187" s="7" t="n">
        <v>43005.7084501042</v>
      </c>
      <c r="K187" s="8" t="n">
        <v>43005.7084501042</v>
      </c>
      <c r="L187" s="6" t="s">
        <v>15</v>
      </c>
      <c r="M187" s="6"/>
      <c r="N187" s="6"/>
      <c r="O187" s="6"/>
      <c r="P187" s="6" t="s">
        <v>46</v>
      </c>
      <c r="Q187" s="0" t="n">
        <f>TODAY()-j187</f>
        <v>264.29154989580275</v>
      </c>
      <c r="R187" t="str">
        <f>VLOOKUP(A187,'Last Week'!A4:I397,7,FALSE)</f>
        <v>CLOSED</v>
      </c>
    </row>
    <row collapsed="false" customFormat="false" customHeight="true" hidden="false" ht="23.85" outlineLevel="0" r="188">
      <c r="A188" s="6" t="s">
        <v>493</v>
      </c>
      <c r="B188" s="6" t="s">
        <v>296</v>
      </c>
      <c r="C188" s="6"/>
      <c r="D188" s="6" t="s">
        <v>494</v>
      </c>
      <c r="E188" s="6" t="s">
        <v>81</v>
      </c>
      <c r="F188" s="6"/>
      <c r="G188" s="6" t="s">
        <v>14</v>
      </c>
      <c r="H188" s="7" t="n">
        <v>43008.0850162153</v>
      </c>
      <c r="I188" s="8" t="n">
        <v>43008.0850162153</v>
      </c>
      <c r="J188" s="7" t="n">
        <v>43005.7259953125</v>
      </c>
      <c r="K188" s="8" t="n">
        <v>43005.7259953125</v>
      </c>
      <c r="L188" s="6" t="s">
        <v>15</v>
      </c>
      <c r="M188" s="6"/>
      <c r="N188" s="6"/>
      <c r="O188" s="6"/>
      <c r="P188" s="6" t="s">
        <v>58</v>
      </c>
      <c r="Q188" s="0" t="n">
        <f>TODAY()-j188</f>
        <v>264.2740046874969</v>
      </c>
      <c r="R188" t="str">
        <f>VLOOKUP(A188,'Last Week'!A4:I397,7,FALSE)</f>
        <v>CLOSED</v>
      </c>
    </row>
    <row collapsed="false" customFormat="false" customHeight="true" hidden="false" ht="23.85" outlineLevel="0" r="189">
      <c r="A189" s="6" t="s">
        <v>495</v>
      </c>
      <c r="B189" s="6" t="s">
        <v>310</v>
      </c>
      <c r="C189" s="6"/>
      <c r="D189" s="6" t="s">
        <v>54</v>
      </c>
      <c r="E189" s="6" t="s">
        <v>28</v>
      </c>
      <c r="F189" s="6"/>
      <c r="G189" s="6" t="s">
        <v>14</v>
      </c>
      <c r="H189" s="7" t="n">
        <v>43013.0850098843</v>
      </c>
      <c r="I189" s="8" t="n">
        <v>43013.0850098843</v>
      </c>
      <c r="J189" s="7" t="n">
        <v>43010.870635081</v>
      </c>
      <c r="K189" s="8" t="n">
        <v>43010.870635081</v>
      </c>
      <c r="L189" s="6" t="s">
        <v>15</v>
      </c>
      <c r="M189" s="6"/>
      <c r="N189" s="6"/>
      <c r="O189" s="6"/>
      <c r="P189" s="6" t="s">
        <v>16</v>
      </c>
      <c r="Q189" s="0" t="n">
        <f>TODAY()-j189</f>
        <v>259.12936491899745</v>
      </c>
      <c r="R189" t="str">
        <f>VLOOKUP(A189,'Last Week'!A4:I397,7,FALSE)</f>
        <v>CLOSED</v>
      </c>
    </row>
    <row collapsed="false" customFormat="false" customHeight="true" hidden="false" ht="23.85" outlineLevel="0" r="190">
      <c r="A190" s="6" t="s">
        <v>496</v>
      </c>
      <c r="B190" s="6" t="s">
        <v>497</v>
      </c>
      <c r="C190" s="6"/>
      <c r="D190" s="6" t="s">
        <v>54</v>
      </c>
      <c r="E190" s="6" t="s">
        <v>81</v>
      </c>
      <c r="F190" s="6"/>
      <c r="G190" s="6" t="s">
        <v>14</v>
      </c>
      <c r="H190" s="7" t="n">
        <v>43015.7503870486</v>
      </c>
      <c r="I190" s="8" t="n">
        <v>43015.7503870486</v>
      </c>
      <c r="J190" s="7" t="n">
        <v>43011.404281956</v>
      </c>
      <c r="K190" s="8" t="n">
        <v>43011.404281956</v>
      </c>
      <c r="L190" s="6" t="s">
        <v>15</v>
      </c>
      <c r="M190" s="6"/>
      <c r="N190" s="6"/>
      <c r="O190" s="6"/>
      <c r="P190" s="6" t="s">
        <v>58</v>
      </c>
      <c r="Q190" s="0" t="n">
        <f>TODAY()-j190</f>
        <v>258.59571804400184</v>
      </c>
      <c r="R190" t="str">
        <f>VLOOKUP(A190,'Last Week'!A4:I397,7,FALSE)</f>
        <v>CLOSED</v>
      </c>
    </row>
    <row collapsed="false" customFormat="false" customHeight="true" hidden="false" ht="23.85" outlineLevel="0" r="191">
      <c r="A191" s="6" t="s">
        <v>498</v>
      </c>
      <c r="B191" s="6" t="s">
        <v>499</v>
      </c>
      <c r="C191" s="6"/>
      <c r="D191" s="6" t="s">
        <v>500</v>
      </c>
      <c r="E191" s="6" t="s">
        <v>33</v>
      </c>
      <c r="F191" s="6"/>
      <c r="G191" s="6" t="s">
        <v>14</v>
      </c>
      <c r="H191" s="7" t="n">
        <v>43011.736687257</v>
      </c>
      <c r="I191" s="8" t="n">
        <v>43011.736687257</v>
      </c>
      <c r="J191" s="7" t="n">
        <v>43011.4171617593</v>
      </c>
      <c r="K191" s="8" t="n">
        <v>43011.4171617593</v>
      </c>
      <c r="L191" s="6" t="s">
        <v>15</v>
      </c>
      <c r="M191" s="6"/>
      <c r="N191" s="6"/>
      <c r="O191" s="6"/>
      <c r="P191" s="6" t="s">
        <v>58</v>
      </c>
      <c r="Q191" s="0" t="n">
        <f>TODAY()-j191</f>
        <v>258.58283824069804</v>
      </c>
      <c r="R191" t="str">
        <f>VLOOKUP(A191,'Last Week'!A4:I397,7,FALSE)</f>
        <v>CLOSED</v>
      </c>
    </row>
    <row collapsed="false" customFormat="false" customHeight="true" hidden="false" ht="23.85" outlineLevel="0" r="192">
      <c r="A192" s="6" t="s">
        <v>501</v>
      </c>
      <c r="B192" s="6" t="s">
        <v>300</v>
      </c>
      <c r="C192" s="6"/>
      <c r="D192" s="6" t="s">
        <v>125</v>
      </c>
      <c r="E192" s="6" t="s">
        <v>126</v>
      </c>
      <c r="F192" s="6"/>
      <c r="G192" s="6" t="s">
        <v>14</v>
      </c>
      <c r="H192" s="7" t="n">
        <v>43013.3337767824</v>
      </c>
      <c r="I192" s="8" t="n">
        <v>43013.3337767824</v>
      </c>
      <c r="J192" s="7" t="n">
        <v>43011.6593521296</v>
      </c>
      <c r="K192" s="8" t="n">
        <v>43011.6593521296</v>
      </c>
      <c r="L192" s="6" t="s">
        <v>15</v>
      </c>
      <c r="M192" s="6"/>
      <c r="N192" s="6"/>
      <c r="O192" s="6"/>
      <c r="P192" s="6" t="s">
        <v>16</v>
      </c>
      <c r="Q192" s="0" t="n">
        <f>TODAY()-j192</f>
        <v>258.34064787039824</v>
      </c>
      <c r="R192" t="str">
        <f>VLOOKUP(A192,'Last Week'!A4:I397,7,FALSE)</f>
        <v>CLOSED</v>
      </c>
    </row>
    <row collapsed="false" customFormat="false" customHeight="true" hidden="false" ht="35.05" outlineLevel="0" r="193">
      <c r="A193" s="6" t="s">
        <v>502</v>
      </c>
      <c r="B193" s="6" t="s">
        <v>427</v>
      </c>
      <c r="C193" s="6"/>
      <c r="D193" s="6" t="s">
        <v>140</v>
      </c>
      <c r="E193" s="6" t="s">
        <v>28</v>
      </c>
      <c r="F193" s="6"/>
      <c r="G193" s="6" t="s">
        <v>14</v>
      </c>
      <c r="H193" s="7" t="n">
        <v>43015.0852073727</v>
      </c>
      <c r="I193" s="8" t="n">
        <v>43015.0852073727</v>
      </c>
      <c r="J193" s="7" t="n">
        <v>43012.8498615509</v>
      </c>
      <c r="K193" s="8" t="n">
        <v>43012.8498615509</v>
      </c>
      <c r="L193" s="6" t="s">
        <v>15</v>
      </c>
      <c r="M193" s="6"/>
      <c r="N193" s="6"/>
      <c r="O193" s="6"/>
      <c r="P193" s="6" t="s">
        <v>16</v>
      </c>
      <c r="Q193" s="0" t="n">
        <f>TODAY()-j193</f>
        <v>257.15013844909845</v>
      </c>
      <c r="R193" t="str">
        <f>VLOOKUP(A193,'Last Week'!A4:I397,7,FALSE)</f>
        <v>CLOSED</v>
      </c>
    </row>
    <row collapsed="false" customFormat="false" customHeight="true" hidden="false" ht="57.45" outlineLevel="0" r="194">
      <c r="A194" s="6" t="s">
        <v>503</v>
      </c>
      <c r="B194" s="6" t="s">
        <v>504</v>
      </c>
      <c r="C194" s="6"/>
      <c r="D194" s="6" t="s">
        <v>505</v>
      </c>
      <c r="E194" s="6" t="s">
        <v>28</v>
      </c>
      <c r="F194" s="6"/>
      <c r="G194" s="6" t="s">
        <v>14</v>
      </c>
      <c r="H194" s="7" t="n">
        <v>43016.753568669</v>
      </c>
      <c r="I194" s="8" t="n">
        <v>43016.753568669</v>
      </c>
      <c r="J194" s="7" t="n">
        <v>43012.9352886574</v>
      </c>
      <c r="K194" s="8" t="n">
        <v>43012.9352886574</v>
      </c>
      <c r="L194" s="6" t="s">
        <v>15</v>
      </c>
      <c r="M194" s="6"/>
      <c r="N194" s="6"/>
      <c r="O194" s="6"/>
      <c r="P194" s="6" t="s">
        <v>16</v>
      </c>
      <c r="Q194" s="0" t="n">
        <f>TODAY()-j194</f>
        <v>257.0647113426021</v>
      </c>
      <c r="R194" t="str">
        <f>VLOOKUP(A194,'Last Week'!A4:I397,7,FALSE)</f>
        <v>CLOSED</v>
      </c>
    </row>
    <row collapsed="false" customFormat="false" customHeight="true" hidden="false" ht="35.05" outlineLevel="0" r="195">
      <c r="A195" s="6" t="s">
        <v>506</v>
      </c>
      <c r="B195" s="6" t="s">
        <v>478</v>
      </c>
      <c r="C195" s="6"/>
      <c r="D195" s="6" t="s">
        <v>479</v>
      </c>
      <c r="E195" s="6" t="s">
        <v>241</v>
      </c>
      <c r="F195" s="6"/>
      <c r="G195" s="6" t="s">
        <v>14</v>
      </c>
      <c r="H195" s="7" t="n">
        <v>43045.3889818519</v>
      </c>
      <c r="I195" s="8" t="n">
        <v>43045.3889818519</v>
      </c>
      <c r="J195" s="7" t="n">
        <v>43014.4006586343</v>
      </c>
      <c r="K195" s="8" t="n">
        <v>43014.4006586343</v>
      </c>
      <c r="L195" s="6" t="s">
        <v>15</v>
      </c>
      <c r="M195" s="6"/>
      <c r="N195" s="6"/>
      <c r="O195" s="6"/>
      <c r="P195" s="6" t="s">
        <v>46</v>
      </c>
      <c r="Q195" s="0" t="n">
        <f>TODAY()-j195</f>
        <v>255.5993413656979</v>
      </c>
      <c r="R195" t="str">
        <f>VLOOKUP(A195,'Last Week'!A4:I397,7,FALSE)</f>
        <v>CLOSED</v>
      </c>
    </row>
    <row collapsed="false" customFormat="false" customHeight="true" hidden="false" ht="35.05" outlineLevel="0" r="196">
      <c r="A196" s="6" t="s">
        <v>507</v>
      </c>
      <c r="B196" s="6" t="s">
        <v>508</v>
      </c>
      <c r="C196" s="6"/>
      <c r="D196" s="6" t="s">
        <v>154</v>
      </c>
      <c r="E196" s="6" t="s">
        <v>55</v>
      </c>
      <c r="F196" s="6"/>
      <c r="G196" s="6" t="s">
        <v>14</v>
      </c>
      <c r="H196" s="7" t="n">
        <v>43019.085445706</v>
      </c>
      <c r="I196" s="8" t="n">
        <v>43019.085445706</v>
      </c>
      <c r="J196" s="7" t="n">
        <v>43014.4646585185</v>
      </c>
      <c r="K196" s="8" t="n">
        <v>43014.4646585185</v>
      </c>
      <c r="L196" s="6" t="s">
        <v>15</v>
      </c>
      <c r="M196" s="6"/>
      <c r="N196" s="6"/>
      <c r="O196" s="6"/>
      <c r="P196" s="6" t="s">
        <v>46</v>
      </c>
      <c r="Q196" s="0" t="n">
        <f>TODAY()-j196</f>
        <v>255.53534148150356</v>
      </c>
      <c r="R196" t="str">
        <f>VLOOKUP(A196,'Last Week'!A4:I397,7,FALSE)</f>
        <v>CLOSED</v>
      </c>
    </row>
    <row collapsed="false" customFormat="false" customHeight="true" hidden="false" ht="57.45" outlineLevel="0" r="197">
      <c r="A197" s="6" t="s">
        <v>509</v>
      </c>
      <c r="B197" s="6" t="s">
        <v>510</v>
      </c>
      <c r="C197" s="6"/>
      <c r="D197" s="6" t="s">
        <v>511</v>
      </c>
      <c r="E197" s="6" t="s">
        <v>72</v>
      </c>
      <c r="F197" s="6"/>
      <c r="G197" s="6" t="s">
        <v>14</v>
      </c>
      <c r="H197" s="7" t="n">
        <v>43017.6978605671</v>
      </c>
      <c r="I197" s="8" t="n">
        <v>43017.6978605671</v>
      </c>
      <c r="J197" s="7" t="n">
        <v>43017.4056353009</v>
      </c>
      <c r="K197" s="8" t="n">
        <v>43017.4056353009</v>
      </c>
      <c r="L197" s="6" t="s">
        <v>15</v>
      </c>
      <c r="M197" s="6"/>
      <c r="N197" s="6"/>
      <c r="O197" s="6"/>
      <c r="P197" s="6" t="s">
        <v>46</v>
      </c>
      <c r="Q197" s="0" t="n">
        <f>TODAY()-j197</f>
        <v>252.59436469909997</v>
      </c>
      <c r="R197" t="str">
        <f>VLOOKUP(A197,'Last Week'!A4:I397,7,FALSE)</f>
        <v>CLOSED</v>
      </c>
    </row>
    <row collapsed="false" customFormat="false" customHeight="true" hidden="false" ht="23.85" outlineLevel="0" r="198">
      <c r="A198" s="6" t="s">
        <v>512</v>
      </c>
      <c r="B198" s="6" t="s">
        <v>513</v>
      </c>
      <c r="C198" s="6"/>
      <c r="D198" s="6" t="s">
        <v>514</v>
      </c>
      <c r="E198" s="6" t="s">
        <v>137</v>
      </c>
      <c r="F198" s="6"/>
      <c r="G198" s="6" t="s">
        <v>14</v>
      </c>
      <c r="H198" s="7" t="n">
        <v>43021.0847239236</v>
      </c>
      <c r="I198" s="8" t="n">
        <v>43021.0847239236</v>
      </c>
      <c r="J198" s="7" t="n">
        <v>43017.5513624884</v>
      </c>
      <c r="K198" s="8" t="n">
        <v>43017.5513624884</v>
      </c>
      <c r="L198" s="6" t="s">
        <v>15</v>
      </c>
      <c r="M198" s="6"/>
      <c r="N198" s="6"/>
      <c r="O198" s="6"/>
      <c r="P198" s="6" t="s">
        <v>46</v>
      </c>
      <c r="Q198" s="0" t="n">
        <f>TODAY()-j198</f>
        <v>252.448637511603</v>
      </c>
      <c r="R198" t="str">
        <f>VLOOKUP(A198,'Last Week'!A4:I397,7,FALSE)</f>
        <v>CLOSED</v>
      </c>
    </row>
    <row collapsed="false" customFormat="false" customHeight="true" hidden="false" ht="23.85" outlineLevel="0" r="199">
      <c r="A199" s="6" t="s">
        <v>515</v>
      </c>
      <c r="B199" s="6" t="s">
        <v>516</v>
      </c>
      <c r="C199" s="6"/>
      <c r="D199" s="6" t="s">
        <v>517</v>
      </c>
      <c r="E199" s="6" t="s">
        <v>33</v>
      </c>
      <c r="F199" s="6"/>
      <c r="G199" s="6" t="s">
        <v>14</v>
      </c>
      <c r="H199" s="7" t="n">
        <v>43020.7816481829</v>
      </c>
      <c r="I199" s="8" t="n">
        <v>43020.7816481829</v>
      </c>
      <c r="J199" s="7" t="n">
        <v>43017.5810883102</v>
      </c>
      <c r="K199" s="8" t="n">
        <v>43017.5810883102</v>
      </c>
      <c r="L199" s="6" t="s">
        <v>15</v>
      </c>
      <c r="M199" s="6"/>
      <c r="N199" s="6"/>
      <c r="O199" s="6"/>
      <c r="P199" s="6" t="s">
        <v>46</v>
      </c>
      <c r="Q199" s="0" t="n">
        <f>TODAY()-j199</f>
        <v>252.41891168979782</v>
      </c>
      <c r="R199" t="str">
        <f>VLOOKUP(A199,'Last Week'!A4:I397,7,FALSE)</f>
        <v>CLOSED</v>
      </c>
    </row>
    <row collapsed="false" customFormat="false" customHeight="true" hidden="false" ht="23.85" outlineLevel="0" r="200">
      <c r="A200" s="6" t="s">
        <v>518</v>
      </c>
      <c r="B200" s="6" t="s">
        <v>519</v>
      </c>
      <c r="C200" s="6"/>
      <c r="D200" s="6" t="s">
        <v>520</v>
      </c>
      <c r="E200" s="6" t="s">
        <v>241</v>
      </c>
      <c r="F200" s="6"/>
      <c r="G200" s="6" t="s">
        <v>14</v>
      </c>
      <c r="H200" s="7" t="n">
        <v>43018.5198739583</v>
      </c>
      <c r="I200" s="8" t="n">
        <v>43018.5198739583</v>
      </c>
      <c r="J200" s="7" t="n">
        <v>43017.6672033681</v>
      </c>
      <c r="K200" s="8" t="n">
        <v>43017.6672033681</v>
      </c>
      <c r="L200" s="6" t="s">
        <v>15</v>
      </c>
      <c r="M200" s="6"/>
      <c r="N200" s="6"/>
      <c r="O200" s="6"/>
      <c r="P200" s="6" t="s">
        <v>46</v>
      </c>
      <c r="Q200" s="0" t="n">
        <f>TODAY()-j200</f>
        <v>252.3327966318975</v>
      </c>
      <c r="R200" t="str">
        <f>VLOOKUP(A200,'Last Week'!A4:I397,7,FALSE)</f>
        <v>CLOSED</v>
      </c>
    </row>
    <row collapsed="false" customFormat="false" customHeight="true" hidden="false" ht="35.05" outlineLevel="0" r="201">
      <c r="A201" s="6" t="s">
        <v>521</v>
      </c>
      <c r="B201" s="6" t="s">
        <v>522</v>
      </c>
      <c r="C201" s="6"/>
      <c r="D201" s="6" t="s">
        <v>240</v>
      </c>
      <c r="E201" s="6" t="s">
        <v>240</v>
      </c>
      <c r="F201" s="6"/>
      <c r="G201" s="6" t="s">
        <v>14</v>
      </c>
      <c r="H201" s="7" t="n">
        <v>43018.5259722338</v>
      </c>
      <c r="I201" s="8" t="n">
        <v>43018.5259722338</v>
      </c>
      <c r="J201" s="7" t="n">
        <v>43017.7440045486</v>
      </c>
      <c r="K201" s="8" t="n">
        <v>43017.7440045486</v>
      </c>
      <c r="L201" s="6" t="s">
        <v>15</v>
      </c>
      <c r="M201" s="6"/>
      <c r="N201" s="6"/>
      <c r="O201" s="6"/>
      <c r="P201" s="6" t="s">
        <v>58</v>
      </c>
      <c r="Q201" s="0" t="n">
        <f>TODAY()-j201</f>
        <v>252.25599545139994</v>
      </c>
      <c r="R201" t="str">
        <f>VLOOKUP(A201,'Last Week'!A4:I397,7,FALSE)</f>
        <v>CLOSED</v>
      </c>
    </row>
    <row collapsed="false" customFormat="false" customHeight="true" hidden="false" ht="23.85" outlineLevel="0" r="202">
      <c r="A202" s="6" t="s">
        <v>523</v>
      </c>
      <c r="B202" s="6" t="s">
        <v>296</v>
      </c>
      <c r="C202" s="6"/>
      <c r="D202" s="6" t="s">
        <v>524</v>
      </c>
      <c r="E202" s="6" t="s">
        <v>81</v>
      </c>
      <c r="F202" s="6"/>
      <c r="G202" s="6" t="s">
        <v>85</v>
      </c>
      <c r="H202" s="7" t="n">
        <v>43020.5097277199</v>
      </c>
      <c r="I202" s="8" t="n">
        <v>43020.5097277199</v>
      </c>
      <c r="J202" s="7" t="n">
        <v>43018.6365006713</v>
      </c>
      <c r="K202" s="8" t="n">
        <v>43018.6365006713</v>
      </c>
      <c r="L202" s="6" t="s">
        <v>15</v>
      </c>
      <c r="M202" s="6"/>
      <c r="N202" s="6"/>
      <c r="O202" s="6"/>
      <c r="P202" s="6" t="s">
        <v>46</v>
      </c>
      <c r="Q202" s="0" t="n">
        <f>TODAY()-j202</f>
        <v>251.3634993286978</v>
      </c>
      <c r="R202" t="str">
        <f>VLOOKUP(A202,'Last Week'!A4:I397,7,FALSE)</f>
        <v>CANCELLED</v>
      </c>
    </row>
    <row collapsed="false" customFormat="false" customHeight="true" hidden="false" ht="23.85" outlineLevel="0" r="203">
      <c r="A203" s="6" t="s">
        <v>525</v>
      </c>
      <c r="B203" s="6" t="s">
        <v>296</v>
      </c>
      <c r="C203" s="6"/>
      <c r="D203" s="6" t="s">
        <v>524</v>
      </c>
      <c r="E203" s="6" t="s">
        <v>81</v>
      </c>
      <c r="F203" s="6"/>
      <c r="G203" s="6" t="s">
        <v>14</v>
      </c>
      <c r="H203" s="7" t="n">
        <v>43020.6028311111</v>
      </c>
      <c r="I203" s="8" t="n">
        <v>43020.6028311111</v>
      </c>
      <c r="J203" s="7" t="n">
        <v>43018.6421514236</v>
      </c>
      <c r="K203" s="8" t="n">
        <v>43018.6421514236</v>
      </c>
      <c r="L203" s="6" t="s">
        <v>15</v>
      </c>
      <c r="M203" s="6"/>
      <c r="N203" s="6"/>
      <c r="O203" s="6"/>
      <c r="P203" s="6" t="s">
        <v>16</v>
      </c>
      <c r="Q203" s="0" t="n">
        <f>TODAY()-j203</f>
        <v>251.357848576401</v>
      </c>
      <c r="R203" t="str">
        <f>VLOOKUP(A203,'Last Week'!A4:I397,7,FALSE)</f>
        <v>CLOSED</v>
      </c>
    </row>
    <row collapsed="false" customFormat="false" customHeight="true" hidden="false" ht="23.85" outlineLevel="0" r="204">
      <c r="A204" s="6" t="s">
        <v>526</v>
      </c>
      <c r="B204" s="6" t="s">
        <v>527</v>
      </c>
      <c r="C204" s="6"/>
      <c r="D204" s="6" t="s">
        <v>528</v>
      </c>
      <c r="E204" s="6" t="s">
        <v>81</v>
      </c>
      <c r="F204" s="6"/>
      <c r="G204" s="6" t="s">
        <v>14</v>
      </c>
      <c r="H204" s="7" t="n">
        <v>43021.3896685069</v>
      </c>
      <c r="I204" s="8" t="n">
        <v>43021.3896685069</v>
      </c>
      <c r="J204" s="7" t="n">
        <v>43019.6868238773</v>
      </c>
      <c r="K204" s="8" t="n">
        <v>43019.6868238773</v>
      </c>
      <c r="L204" s="6" t="s">
        <v>15</v>
      </c>
      <c r="M204" s="6"/>
      <c r="N204" s="6"/>
      <c r="O204" s="6"/>
      <c r="P204" s="6" t="s">
        <v>46</v>
      </c>
      <c r="Q204" s="0" t="n">
        <f>TODAY()-j204</f>
        <v>250.31317612269777</v>
      </c>
      <c r="R204" t="str">
        <f>VLOOKUP(A204,'Last Week'!A4:I397,7,FALSE)</f>
        <v>CLOSED</v>
      </c>
    </row>
    <row collapsed="false" customFormat="false" customHeight="true" hidden="false" ht="23.85" outlineLevel="0" r="205">
      <c r="A205" s="6" t="s">
        <v>529</v>
      </c>
      <c r="B205" s="6" t="s">
        <v>530</v>
      </c>
      <c r="C205" s="6"/>
      <c r="D205" s="6" t="s">
        <v>392</v>
      </c>
      <c r="E205" s="6" t="s">
        <v>55</v>
      </c>
      <c r="F205" s="6"/>
      <c r="G205" s="6" t="s">
        <v>14</v>
      </c>
      <c r="H205" s="7" t="n">
        <v>43028.395286794</v>
      </c>
      <c r="I205" s="8" t="n">
        <v>43028.395286794</v>
      </c>
      <c r="J205" s="7" t="n">
        <v>43020.5494577083</v>
      </c>
      <c r="K205" s="8" t="n">
        <v>43020.5494577083</v>
      </c>
      <c r="L205" s="6" t="s">
        <v>15</v>
      </c>
      <c r="M205" s="6"/>
      <c r="N205" s="6"/>
      <c r="O205" s="6"/>
      <c r="P205" s="6" t="s">
        <v>16</v>
      </c>
      <c r="Q205" s="0" t="n">
        <f>TODAY()-j205</f>
        <v>249.4505422916991</v>
      </c>
      <c r="R205" t="str">
        <f>VLOOKUP(A205,'Last Week'!A4:I397,7,FALSE)</f>
        <v>CLOSED</v>
      </c>
    </row>
    <row collapsed="false" customFormat="false" customHeight="true" hidden="false" ht="23.85" outlineLevel="0" r="206">
      <c r="A206" s="6" t="s">
        <v>531</v>
      </c>
      <c r="B206" s="6" t="s">
        <v>532</v>
      </c>
      <c r="C206" s="6"/>
      <c r="D206" s="6" t="s">
        <v>461</v>
      </c>
      <c r="E206" s="6" t="s">
        <v>28</v>
      </c>
      <c r="F206" s="6"/>
      <c r="G206" s="6" t="s">
        <v>14</v>
      </c>
      <c r="H206" s="7" t="n">
        <v>43024.7076723148</v>
      </c>
      <c r="I206" s="8" t="n">
        <v>43024.7076723148</v>
      </c>
      <c r="J206" s="7" t="n">
        <v>43020.8716307755</v>
      </c>
      <c r="K206" s="8" t="n">
        <v>43020.8716307755</v>
      </c>
      <c r="L206" s="6" t="s">
        <v>15</v>
      </c>
      <c r="M206" s="6"/>
      <c r="N206" s="6"/>
      <c r="O206" s="6"/>
      <c r="P206" s="6" t="s">
        <v>16</v>
      </c>
      <c r="Q206" s="0" t="n">
        <f>TODAY()-j206</f>
        <v>249.12836922449787</v>
      </c>
      <c r="R206" t="str">
        <f>VLOOKUP(A206,'Last Week'!A4:I397,7,FALSE)</f>
        <v>CLOSED</v>
      </c>
    </row>
    <row collapsed="false" customFormat="false" customHeight="true" hidden="false" ht="35.05" outlineLevel="0" r="207">
      <c r="A207" s="6" t="s">
        <v>533</v>
      </c>
      <c r="B207" s="6" t="s">
        <v>534</v>
      </c>
      <c r="C207" s="6"/>
      <c r="D207" s="6" t="s">
        <v>61</v>
      </c>
      <c r="E207" s="6" t="s">
        <v>28</v>
      </c>
      <c r="F207" s="6"/>
      <c r="G207" s="6" t="s">
        <v>14</v>
      </c>
      <c r="H207" s="7" t="n">
        <v>43023.7504415046</v>
      </c>
      <c r="I207" s="8" t="n">
        <v>43023.7504415046</v>
      </c>
      <c r="J207" s="7" t="n">
        <v>43020.9045921181</v>
      </c>
      <c r="K207" s="8" t="n">
        <v>43020.9045921181</v>
      </c>
      <c r="L207" s="6" t="s">
        <v>15</v>
      </c>
      <c r="M207" s="6"/>
      <c r="N207" s="6"/>
      <c r="O207" s="6"/>
      <c r="P207" s="6" t="s">
        <v>16</v>
      </c>
      <c r="Q207" s="0" t="n">
        <f>TODAY()-j207</f>
        <v>249.0954078818977</v>
      </c>
      <c r="R207" t="str">
        <f>VLOOKUP(A207,'Last Week'!A4:I397,7,FALSE)</f>
        <v>CLOSED</v>
      </c>
    </row>
    <row collapsed="false" customFormat="false" customHeight="true" hidden="false" ht="23.85" outlineLevel="0" r="208">
      <c r="A208" s="6" t="s">
        <v>535</v>
      </c>
      <c r="B208" s="6" t="s">
        <v>536</v>
      </c>
      <c r="C208" s="6"/>
      <c r="D208" s="6" t="s">
        <v>537</v>
      </c>
      <c r="E208" s="6" t="s">
        <v>41</v>
      </c>
      <c r="F208" s="6"/>
      <c r="G208" s="6" t="s">
        <v>14</v>
      </c>
      <c r="H208" s="7" t="n">
        <v>43026.6192325231</v>
      </c>
      <c r="I208" s="8" t="n">
        <v>43026.6192325231</v>
      </c>
      <c r="J208" s="7" t="n">
        <v>43024.7030344792</v>
      </c>
      <c r="K208" s="8" t="n">
        <v>43024.7030344792</v>
      </c>
      <c r="L208" s="6" t="s">
        <v>15</v>
      </c>
      <c r="M208" s="6"/>
      <c r="N208" s="6"/>
      <c r="O208" s="6"/>
      <c r="P208" s="6" t="s">
        <v>46</v>
      </c>
      <c r="Q208" s="0" t="n">
        <f>TODAY()-j208</f>
        <v>245.29696552079986</v>
      </c>
      <c r="R208" t="str">
        <f>VLOOKUP(A208,'Last Week'!A4:I397,7,FALSE)</f>
        <v>CLOSED</v>
      </c>
    </row>
    <row collapsed="false" customFormat="false" customHeight="true" hidden="false" ht="23.85" outlineLevel="0" r="209">
      <c r="A209" s="6" t="s">
        <v>538</v>
      </c>
      <c r="B209" s="6" t="s">
        <v>539</v>
      </c>
      <c r="C209" s="6"/>
      <c r="D209" s="6" t="s">
        <v>540</v>
      </c>
      <c r="E209" s="6" t="s">
        <v>72</v>
      </c>
      <c r="F209" s="6"/>
      <c r="G209" s="6" t="s">
        <v>14</v>
      </c>
      <c r="H209" s="7" t="n">
        <v>43030.8754518056</v>
      </c>
      <c r="I209" s="8" t="n">
        <v>43030.8754518056</v>
      </c>
      <c r="J209" s="7" t="n">
        <v>43025.4584483796</v>
      </c>
      <c r="K209" s="8" t="n">
        <v>43025.4584483796</v>
      </c>
      <c r="L209" s="6" t="s">
        <v>15</v>
      </c>
      <c r="M209" s="6"/>
      <c r="N209" s="6"/>
      <c r="O209" s="6"/>
      <c r="P209" s="6" t="s">
        <v>46</v>
      </c>
      <c r="Q209" s="0" t="n">
        <f>TODAY()-j209</f>
        <v>244.54155162040115</v>
      </c>
      <c r="R209" t="str">
        <f>VLOOKUP(A209,'Last Week'!A4:I397,7,FALSE)</f>
        <v>CLOSED</v>
      </c>
    </row>
    <row collapsed="false" customFormat="false" customHeight="true" hidden="false" ht="23.85" outlineLevel="0" r="210">
      <c r="A210" s="6" t="s">
        <v>541</v>
      </c>
      <c r="B210" s="6" t="s">
        <v>542</v>
      </c>
      <c r="C210" s="6"/>
      <c r="D210" s="6" t="s">
        <v>154</v>
      </c>
      <c r="E210" s="6" t="s">
        <v>81</v>
      </c>
      <c r="F210" s="6"/>
      <c r="G210" s="6" t="s">
        <v>14</v>
      </c>
      <c r="H210" s="7" t="n">
        <v>43029.0848455093</v>
      </c>
      <c r="I210" s="8" t="n">
        <v>43029.0848455093</v>
      </c>
      <c r="J210" s="7" t="n">
        <v>43025.6830516435</v>
      </c>
      <c r="K210" s="8" t="n">
        <v>43025.6830516435</v>
      </c>
      <c r="L210" s="6" t="s">
        <v>15</v>
      </c>
      <c r="M210" s="6"/>
      <c r="N210" s="6"/>
      <c r="O210" s="6"/>
      <c r="P210" s="6" t="s">
        <v>46</v>
      </c>
      <c r="Q210" s="0" t="n">
        <f>TODAY()-j210</f>
        <v>244.31694835649978</v>
      </c>
      <c r="R210" t="str">
        <f>VLOOKUP(A210,'Last Week'!A4:I397,7,FALSE)</f>
        <v>CLOSED</v>
      </c>
    </row>
    <row collapsed="false" customFormat="false" customHeight="true" hidden="false" ht="23.85" outlineLevel="0" r="211">
      <c r="A211" s="6" t="s">
        <v>543</v>
      </c>
      <c r="B211" s="6" t="s">
        <v>544</v>
      </c>
      <c r="C211" s="6"/>
      <c r="D211" s="6" t="s">
        <v>61</v>
      </c>
      <c r="E211" s="6" t="s">
        <v>81</v>
      </c>
      <c r="F211" s="6"/>
      <c r="G211" s="6" t="s">
        <v>14</v>
      </c>
      <c r="H211" s="7" t="n">
        <v>43026.6809809491</v>
      </c>
      <c r="I211" s="8" t="n">
        <v>43026.6809809491</v>
      </c>
      <c r="J211" s="7" t="n">
        <v>43026.5396189468</v>
      </c>
      <c r="K211" s="8" t="n">
        <v>43026.5396189468</v>
      </c>
      <c r="L211" s="6" t="s">
        <v>15</v>
      </c>
      <c r="M211" s="6"/>
      <c r="N211" s="6"/>
      <c r="O211" s="6"/>
      <c r="P211" s="6" t="s">
        <v>46</v>
      </c>
      <c r="Q211" s="0" t="n">
        <f>TODAY()-j211</f>
        <v>243.46038105319894</v>
      </c>
      <c r="R211" t="str">
        <f>VLOOKUP(A211,'Last Week'!A4:I397,7,FALSE)</f>
        <v>CLOSED</v>
      </c>
    </row>
    <row collapsed="false" customFormat="false" customHeight="true" hidden="false" ht="35.05" outlineLevel="0" r="212">
      <c r="A212" s="6" t="s">
        <v>545</v>
      </c>
      <c r="B212" s="6" t="s">
        <v>546</v>
      </c>
      <c r="C212" s="6"/>
      <c r="D212" s="6" t="s">
        <v>61</v>
      </c>
      <c r="E212" s="6" t="s">
        <v>50</v>
      </c>
      <c r="F212" s="6"/>
      <c r="G212" s="6" t="s">
        <v>14</v>
      </c>
      <c r="H212" s="7" t="n">
        <v>43028.4503167593</v>
      </c>
      <c r="I212" s="8" t="n">
        <v>43028.4503167593</v>
      </c>
      <c r="J212" s="7" t="n">
        <v>43027.2996457986</v>
      </c>
      <c r="K212" s="8" t="n">
        <v>43027.2996457986</v>
      </c>
      <c r="L212" s="6" t="s">
        <v>15</v>
      </c>
      <c r="M212" s="6"/>
      <c r="N212" s="6"/>
      <c r="O212" s="6"/>
      <c r="P212" s="6" t="s">
        <v>46</v>
      </c>
      <c r="Q212" s="0" t="n">
        <f>TODAY()-j212</f>
        <v>242.70035420139902</v>
      </c>
      <c r="R212" t="str">
        <f>VLOOKUP(A212,'Last Week'!A4:I397,7,FALSE)</f>
        <v>CLOSED</v>
      </c>
    </row>
    <row collapsed="false" customFormat="false" customHeight="true" hidden="false" ht="23.85" outlineLevel="0" r="213">
      <c r="A213" s="6" t="s">
        <v>547</v>
      </c>
      <c r="B213" s="6" t="s">
        <v>548</v>
      </c>
      <c r="C213" s="6"/>
      <c r="D213" s="6" t="s">
        <v>61</v>
      </c>
      <c r="E213" s="6" t="s">
        <v>50</v>
      </c>
      <c r="F213" s="6"/>
      <c r="G213" s="6" t="s">
        <v>14</v>
      </c>
      <c r="H213" s="7" t="n">
        <v>43028.445496412</v>
      </c>
      <c r="I213" s="8" t="n">
        <v>43028.445496412</v>
      </c>
      <c r="J213" s="7" t="n">
        <v>43027.3017589815</v>
      </c>
      <c r="K213" s="8" t="n">
        <v>43027.3017589815</v>
      </c>
      <c r="L213" s="6" t="s">
        <v>15</v>
      </c>
      <c r="M213" s="6"/>
      <c r="N213" s="6"/>
      <c r="O213" s="6"/>
      <c r="P213" s="6" t="s">
        <v>46</v>
      </c>
      <c r="Q213" s="0" t="n">
        <f>TODAY()-j213</f>
        <v>242.698241018501</v>
      </c>
      <c r="R213" t="str">
        <f>VLOOKUP(A213,'Last Week'!A4:I397,7,FALSE)</f>
        <v>CLOSED</v>
      </c>
    </row>
    <row collapsed="false" customFormat="false" customHeight="true" hidden="false" ht="35.05" outlineLevel="0" r="214">
      <c r="A214" s="6" t="s">
        <v>549</v>
      </c>
      <c r="B214" s="6" t="s">
        <v>550</v>
      </c>
      <c r="C214" s="6"/>
      <c r="D214" s="6" t="s">
        <v>154</v>
      </c>
      <c r="E214" s="6" t="s">
        <v>55</v>
      </c>
      <c r="F214" s="6"/>
      <c r="G214" s="6" t="s">
        <v>14</v>
      </c>
      <c r="H214" s="7" t="n">
        <v>43030.8338030556</v>
      </c>
      <c r="I214" s="8" t="n">
        <v>43030.8338030556</v>
      </c>
      <c r="J214" s="7" t="n">
        <v>43027.5581561574</v>
      </c>
      <c r="K214" s="8" t="n">
        <v>43027.5581561574</v>
      </c>
      <c r="L214" s="6" t="s">
        <v>15</v>
      </c>
      <c r="M214" s="6"/>
      <c r="N214" s="6"/>
      <c r="O214" s="6"/>
      <c r="P214" s="6" t="s">
        <v>46</v>
      </c>
      <c r="Q214" s="0" t="n">
        <f>TODAY()-j214</f>
        <v>242.44184384260006</v>
      </c>
      <c r="R214" t="str">
        <f>VLOOKUP(A214,'Last Week'!A4:I397,7,FALSE)</f>
        <v>CLOSED</v>
      </c>
    </row>
    <row collapsed="false" customFormat="false" customHeight="true" hidden="false" ht="23.85" outlineLevel="0" r="215">
      <c r="A215" s="6" t="s">
        <v>551</v>
      </c>
      <c r="B215" s="6" t="s">
        <v>552</v>
      </c>
      <c r="C215" s="6"/>
      <c r="D215" s="6" t="s">
        <v>553</v>
      </c>
      <c r="E215" s="6" t="s">
        <v>41</v>
      </c>
      <c r="F215" s="6"/>
      <c r="G215" s="6" t="s">
        <v>14</v>
      </c>
      <c r="H215" s="7" t="n">
        <v>43034.2504728357</v>
      </c>
      <c r="I215" s="8" t="n">
        <v>43034.2504728357</v>
      </c>
      <c r="J215" s="7" t="n">
        <v>43027.7595575694</v>
      </c>
      <c r="K215" s="8" t="n">
        <v>43027.7595575694</v>
      </c>
      <c r="L215" s="6" t="s">
        <v>15</v>
      </c>
      <c r="M215" s="6"/>
      <c r="N215" s="6"/>
      <c r="O215" s="6"/>
      <c r="P215" s="6" t="s">
        <v>46</v>
      </c>
      <c r="Q215" s="0" t="n">
        <f>TODAY()-j215</f>
        <v>242.24044243060052</v>
      </c>
      <c r="R215" t="str">
        <f>VLOOKUP(A215,'Last Week'!A4:I397,7,FALSE)</f>
        <v>CLOSED</v>
      </c>
    </row>
    <row collapsed="false" customFormat="false" customHeight="true" hidden="false" ht="23.85" outlineLevel="0" r="216">
      <c r="A216" s="6" t="s">
        <v>554</v>
      </c>
      <c r="B216" s="6" t="s">
        <v>555</v>
      </c>
      <c r="C216" s="6"/>
      <c r="D216" s="6" t="s">
        <v>556</v>
      </c>
      <c r="E216" s="6" t="s">
        <v>37</v>
      </c>
      <c r="F216" s="6"/>
      <c r="G216" s="6" t="s">
        <v>14</v>
      </c>
      <c r="H216" s="7" t="n">
        <v>43034.6684016782</v>
      </c>
      <c r="I216" s="8" t="n">
        <v>43034.6684016782</v>
      </c>
      <c r="J216" s="7" t="n">
        <v>43031.4904257176</v>
      </c>
      <c r="K216" s="8" t="n">
        <v>43031.4904257176</v>
      </c>
      <c r="L216" s="6" t="s">
        <v>15</v>
      </c>
      <c r="M216" s="6"/>
      <c r="N216" s="6"/>
      <c r="O216" s="6"/>
      <c r="P216" s="6" t="s">
        <v>16</v>
      </c>
      <c r="Q216" s="0" t="n">
        <f>TODAY()-j216</f>
        <v>238.5095742823978</v>
      </c>
      <c r="R216" t="str">
        <f>VLOOKUP(A216,'Last Week'!A4:I397,7,FALSE)</f>
        <v>CLOSED</v>
      </c>
    </row>
    <row collapsed="false" customFormat="false" customHeight="true" hidden="false" ht="23.85" outlineLevel="0" r="217">
      <c r="A217" s="6" t="s">
        <v>557</v>
      </c>
      <c r="B217" s="6" t="s">
        <v>296</v>
      </c>
      <c r="C217" s="6"/>
      <c r="D217" s="6" t="s">
        <v>61</v>
      </c>
      <c r="E217" s="6" t="s">
        <v>81</v>
      </c>
      <c r="F217" s="6"/>
      <c r="G217" s="6" t="s">
        <v>14</v>
      </c>
      <c r="H217" s="7" t="n">
        <v>43033.3815409954</v>
      </c>
      <c r="I217" s="8" t="n">
        <v>43033.3815409954</v>
      </c>
      <c r="J217" s="7" t="n">
        <v>43032.5014328009</v>
      </c>
      <c r="K217" s="8" t="n">
        <v>43032.5014328009</v>
      </c>
      <c r="L217" s="6" t="s">
        <v>15</v>
      </c>
      <c r="M217" s="6"/>
      <c r="N217" s="6"/>
      <c r="O217" s="6"/>
      <c r="P217" s="6" t="s">
        <v>46</v>
      </c>
      <c r="Q217" s="0" t="n">
        <f>TODAY()-j217</f>
        <v>237.49856719910167</v>
      </c>
      <c r="R217" t="str">
        <f>VLOOKUP(A217,'Last Week'!A4:I397,7,FALSE)</f>
        <v>CLOSED</v>
      </c>
    </row>
    <row collapsed="false" customFormat="false" customHeight="true" hidden="false" ht="23.85" outlineLevel="0" r="218">
      <c r="A218" s="6" t="s">
        <v>558</v>
      </c>
      <c r="B218" s="6" t="s">
        <v>403</v>
      </c>
      <c r="C218" s="6"/>
      <c r="D218" s="6" t="s">
        <v>559</v>
      </c>
      <c r="E218" s="6" t="s">
        <v>175</v>
      </c>
      <c r="F218" s="6"/>
      <c r="G218" s="6" t="s">
        <v>14</v>
      </c>
      <c r="H218" s="7" t="n">
        <v>43041.0841654051</v>
      </c>
      <c r="I218" s="8" t="n">
        <v>43041.0841654051</v>
      </c>
      <c r="J218" s="7" t="n">
        <v>43032.7095283102</v>
      </c>
      <c r="K218" s="8" t="n">
        <v>43032.7095283102</v>
      </c>
      <c r="L218" s="6" t="s">
        <v>15</v>
      </c>
      <c r="M218" s="6"/>
      <c r="N218" s="6"/>
      <c r="O218" s="6"/>
      <c r="P218" s="6" t="s">
        <v>16</v>
      </c>
      <c r="Q218" s="0" t="n">
        <f>TODAY()-j218</f>
        <v>237.2904716897974</v>
      </c>
      <c r="R218" t="str">
        <f>VLOOKUP(A218,'Last Week'!A4:I397,7,FALSE)</f>
        <v>CLOSED</v>
      </c>
    </row>
    <row collapsed="false" customFormat="false" customHeight="true" hidden="false" ht="23.85" outlineLevel="0" r="219">
      <c r="A219" s="6" t="s">
        <v>560</v>
      </c>
      <c r="B219" s="6" t="s">
        <v>561</v>
      </c>
      <c r="C219" s="6"/>
      <c r="D219" s="6" t="s">
        <v>562</v>
      </c>
      <c r="E219" s="6" t="s">
        <v>41</v>
      </c>
      <c r="F219" s="6"/>
      <c r="G219" s="6" t="s">
        <v>14</v>
      </c>
      <c r="H219" s="7" t="n">
        <v>43038.2505013194</v>
      </c>
      <c r="I219" s="8" t="n">
        <v>43038.2505013194</v>
      </c>
      <c r="J219" s="7" t="n">
        <v>43034.8892994907</v>
      </c>
      <c r="K219" s="8" t="n">
        <v>43034.8892994907</v>
      </c>
      <c r="L219" s="6" t="s">
        <v>15</v>
      </c>
      <c r="M219" s="6"/>
      <c r="N219" s="6"/>
      <c r="O219" s="6"/>
      <c r="P219" s="6" t="s">
        <v>46</v>
      </c>
      <c r="Q219" s="0" t="n">
        <f>TODAY()-j219</f>
        <v>235.11070050929993</v>
      </c>
      <c r="R219" t="str">
        <f>VLOOKUP(A219,'Last Week'!A4:I397,7,FALSE)</f>
        <v>CLOSED</v>
      </c>
    </row>
    <row collapsed="false" customFormat="false" customHeight="true" hidden="false" ht="35.05" outlineLevel="0" r="220">
      <c r="A220" s="6" t="s">
        <v>563</v>
      </c>
      <c r="B220" s="6" t="s">
        <v>564</v>
      </c>
      <c r="C220" s="6"/>
      <c r="D220" s="6" t="s">
        <v>61</v>
      </c>
      <c r="E220" s="6" t="s">
        <v>28</v>
      </c>
      <c r="F220" s="6"/>
      <c r="G220" s="6" t="s">
        <v>14</v>
      </c>
      <c r="H220" s="7" t="n">
        <v>43040.459734838</v>
      </c>
      <c r="I220" s="8" t="n">
        <v>43040.459734838</v>
      </c>
      <c r="J220" s="7" t="n">
        <v>43039.8289149769</v>
      </c>
      <c r="K220" s="8" t="n">
        <v>43039.8289149769</v>
      </c>
      <c r="L220" s="6" t="s">
        <v>15</v>
      </c>
      <c r="M220" s="6"/>
      <c r="N220" s="6"/>
      <c r="O220" s="6"/>
      <c r="P220" s="6" t="s">
        <v>46</v>
      </c>
      <c r="Q220" s="0" t="n">
        <f>TODAY()-j220</f>
        <v>230.17108502310293</v>
      </c>
      <c r="R220" t="str">
        <f>VLOOKUP(A220,'Last Week'!A4:I397,7,FALSE)</f>
        <v>CLOSED</v>
      </c>
    </row>
    <row collapsed="false" customFormat="false" customHeight="true" hidden="false" ht="23.85" outlineLevel="0" r="221">
      <c r="A221" s="6" t="s">
        <v>565</v>
      </c>
      <c r="B221" s="6" t="s">
        <v>300</v>
      </c>
      <c r="C221" s="6"/>
      <c r="D221" s="6" t="s">
        <v>125</v>
      </c>
      <c r="E221" s="6" t="s">
        <v>126</v>
      </c>
      <c r="F221" s="6"/>
      <c r="G221" s="6" t="s">
        <v>14</v>
      </c>
      <c r="H221" s="7" t="n">
        <v>43043.0846012963</v>
      </c>
      <c r="I221" s="8" t="n">
        <v>43043.0846012963</v>
      </c>
      <c r="J221" s="7" t="n">
        <v>43040.5168396412</v>
      </c>
      <c r="K221" s="8" t="n">
        <v>43040.5168396412</v>
      </c>
      <c r="L221" s="6" t="s">
        <v>15</v>
      </c>
      <c r="M221" s="6"/>
      <c r="N221" s="6"/>
      <c r="O221" s="6"/>
      <c r="P221" s="6" t="s">
        <v>16</v>
      </c>
      <c r="Q221" s="0" t="n">
        <f>TODAY()-j221</f>
        <v>229.4831603588027</v>
      </c>
      <c r="R221" t="str">
        <f>VLOOKUP(A221,'Last Week'!A4:I397,7,FALSE)</f>
        <v>CLOSED</v>
      </c>
    </row>
    <row collapsed="false" customFormat="false" customHeight="true" hidden="false" ht="23.85" outlineLevel="0" r="222">
      <c r="A222" s="6" t="s">
        <v>566</v>
      </c>
      <c r="B222" s="6" t="s">
        <v>271</v>
      </c>
      <c r="C222" s="6"/>
      <c r="D222" s="6" t="s">
        <v>140</v>
      </c>
      <c r="E222" s="6" t="s">
        <v>28</v>
      </c>
      <c r="F222" s="6"/>
      <c r="G222" s="6" t="s">
        <v>14</v>
      </c>
      <c r="H222" s="7" t="n">
        <v>43047.1262430787</v>
      </c>
      <c r="I222" s="8" t="n">
        <v>43047.1262430787</v>
      </c>
      <c r="J222" s="7" t="n">
        <v>43040.8352253935</v>
      </c>
      <c r="K222" s="8" t="n">
        <v>43040.8352253935</v>
      </c>
      <c r="L222" s="6" t="s">
        <v>15</v>
      </c>
      <c r="M222" s="6"/>
      <c r="N222" s="6"/>
      <c r="O222" s="6"/>
      <c r="P222" s="6" t="s">
        <v>16</v>
      </c>
      <c r="Q222" s="0" t="n">
        <f>TODAY()-j222</f>
        <v>229.16477460649912</v>
      </c>
      <c r="R222" t="str">
        <f>VLOOKUP(A222,'Last Week'!A4:I397,7,FALSE)</f>
        <v>CLOSED</v>
      </c>
    </row>
    <row collapsed="false" customFormat="false" customHeight="true" hidden="false" ht="23.85" outlineLevel="0" r="223">
      <c r="A223" s="6" t="s">
        <v>567</v>
      </c>
      <c r="B223" s="6" t="s">
        <v>568</v>
      </c>
      <c r="C223" s="6"/>
      <c r="D223" s="6" t="s">
        <v>569</v>
      </c>
      <c r="E223" s="6" t="s">
        <v>33</v>
      </c>
      <c r="F223" s="6"/>
      <c r="G223" s="6" t="s">
        <v>14</v>
      </c>
      <c r="H223" s="7" t="n">
        <v>43044.7088872685</v>
      </c>
      <c r="I223" s="8" t="n">
        <v>43044.7088872685</v>
      </c>
      <c r="J223" s="7" t="n">
        <v>43041.5396740741</v>
      </c>
      <c r="K223" s="8" t="n">
        <v>43041.5396740741</v>
      </c>
      <c r="L223" s="6" t="s">
        <v>15</v>
      </c>
      <c r="M223" s="6"/>
      <c r="N223" s="6"/>
      <c r="O223" s="6"/>
      <c r="P223" s="6" t="s">
        <v>46</v>
      </c>
      <c r="Q223" s="0" t="n">
        <f>TODAY()-j223</f>
        <v>228.460325925902</v>
      </c>
      <c r="R223" t="str">
        <f>VLOOKUP(A223,'Last Week'!A4:I397,7,FALSE)</f>
        <v>CLOSED</v>
      </c>
    </row>
    <row collapsed="false" customFormat="false" customHeight="true" hidden="false" ht="23.85" outlineLevel="0" r="224">
      <c r="A224" s="6" t="s">
        <v>570</v>
      </c>
      <c r="B224" s="6" t="s">
        <v>571</v>
      </c>
      <c r="C224" s="6"/>
      <c r="D224" s="6" t="s">
        <v>572</v>
      </c>
      <c r="E224" s="6" t="s">
        <v>28</v>
      </c>
      <c r="F224" s="6"/>
      <c r="G224" s="6" t="s">
        <v>14</v>
      </c>
      <c r="H224" s="7" t="n">
        <v>43045.5422112037</v>
      </c>
      <c r="I224" s="8" t="n">
        <v>43045.5422112037</v>
      </c>
      <c r="J224" s="7" t="n">
        <v>43041.7207605903</v>
      </c>
      <c r="K224" s="8" t="n">
        <v>43041.7207605903</v>
      </c>
      <c r="L224" s="6" t="s">
        <v>15</v>
      </c>
      <c r="M224" s="6"/>
      <c r="N224" s="6"/>
      <c r="O224" s="6"/>
      <c r="P224" s="6" t="s">
        <v>46</v>
      </c>
      <c r="Q224" s="0" t="n">
        <f>TODAY()-j224</f>
        <v>228.27923940969777</v>
      </c>
      <c r="R224" t="str">
        <f>VLOOKUP(A224,'Last Week'!A4:I397,7,FALSE)</f>
        <v>CLOSED</v>
      </c>
    </row>
    <row collapsed="false" customFormat="false" customHeight="true" hidden="false" ht="23.85" outlineLevel="0" r="225">
      <c r="A225" s="6" t="s">
        <v>573</v>
      </c>
      <c r="B225" s="6" t="s">
        <v>310</v>
      </c>
      <c r="C225" s="6"/>
      <c r="D225" s="6" t="s">
        <v>54</v>
      </c>
      <c r="E225" s="6" t="s">
        <v>28</v>
      </c>
      <c r="F225" s="6"/>
      <c r="G225" s="6" t="s">
        <v>14</v>
      </c>
      <c r="H225" s="7" t="n">
        <v>43047.1264072917</v>
      </c>
      <c r="I225" s="8" t="n">
        <v>43047.1264072917</v>
      </c>
      <c r="J225" s="7" t="n">
        <v>43041.7937567477</v>
      </c>
      <c r="K225" s="8" t="n">
        <v>43041.7937567477</v>
      </c>
      <c r="L225" s="6" t="s">
        <v>15</v>
      </c>
      <c r="M225" s="6"/>
      <c r="N225" s="6"/>
      <c r="O225" s="6"/>
      <c r="P225" s="6" t="s">
        <v>16</v>
      </c>
      <c r="Q225" s="0" t="n">
        <f>TODAY()-j225</f>
        <v>228.20624325230165</v>
      </c>
      <c r="R225" t="str">
        <f>VLOOKUP(A225,'Last Week'!A4:I397,7,FALSE)</f>
        <v>CLOSED</v>
      </c>
    </row>
    <row collapsed="false" customFormat="false" customHeight="true" hidden="false" ht="35.05" outlineLevel="0" r="226">
      <c r="A226" s="6" t="s">
        <v>574</v>
      </c>
      <c r="B226" s="6" t="s">
        <v>575</v>
      </c>
      <c r="C226" s="6"/>
      <c r="D226" s="6" t="s">
        <v>61</v>
      </c>
      <c r="E226" s="6" t="s">
        <v>28</v>
      </c>
      <c r="F226" s="6"/>
      <c r="G226" s="6" t="s">
        <v>14</v>
      </c>
      <c r="H226" s="7" t="n">
        <v>43045.5422149306</v>
      </c>
      <c r="I226" s="8" t="n">
        <v>43045.5422149306</v>
      </c>
      <c r="J226" s="7" t="n">
        <v>43041.8592275116</v>
      </c>
      <c r="K226" s="8" t="n">
        <v>43041.8592275116</v>
      </c>
      <c r="L226" s="6" t="s">
        <v>15</v>
      </c>
      <c r="M226" s="6"/>
      <c r="N226" s="6"/>
      <c r="O226" s="6"/>
      <c r="P226" s="6" t="s">
        <v>46</v>
      </c>
      <c r="Q226" s="0" t="n">
        <f>TODAY()-j226</f>
        <v>228.1407724883975</v>
      </c>
      <c r="R226" t="str">
        <f>VLOOKUP(A226,'Last Week'!A4:I397,7,FALSE)</f>
        <v>CLOSED</v>
      </c>
    </row>
    <row collapsed="false" customFormat="false" customHeight="true" hidden="false" ht="23.85" outlineLevel="0" r="227">
      <c r="A227" s="6" t="s">
        <v>576</v>
      </c>
      <c r="B227" s="6" t="s">
        <v>577</v>
      </c>
      <c r="C227" s="6"/>
      <c r="D227" s="6" t="s">
        <v>58</v>
      </c>
      <c r="E227" s="6" t="s">
        <v>81</v>
      </c>
      <c r="F227" s="6"/>
      <c r="G227" s="6" t="s">
        <v>14</v>
      </c>
      <c r="H227" s="7" t="n">
        <v>43047.2089384028</v>
      </c>
      <c r="I227" s="8" t="n">
        <v>43047.2089384028</v>
      </c>
      <c r="J227" s="7" t="n">
        <v>43045.6399471065</v>
      </c>
      <c r="K227" s="8" t="n">
        <v>43045.6399471065</v>
      </c>
      <c r="L227" s="6" t="s">
        <v>15</v>
      </c>
      <c r="M227" s="6"/>
      <c r="N227" s="6"/>
      <c r="O227" s="6"/>
      <c r="P227" s="6" t="s">
        <v>58</v>
      </c>
      <c r="Q227" s="0" t="n">
        <f>TODAY()-j227</f>
        <v>224.3600528934985</v>
      </c>
      <c r="R227" t="str">
        <f>VLOOKUP(A227,'Last Week'!A4:I397,7,FALSE)</f>
        <v>CLOSED</v>
      </c>
    </row>
    <row collapsed="false" customFormat="false" customHeight="true" hidden="false" ht="23.85" outlineLevel="0" r="228">
      <c r="A228" s="6" t="s">
        <v>578</v>
      </c>
      <c r="B228" s="6" t="s">
        <v>579</v>
      </c>
      <c r="C228" s="6"/>
      <c r="D228" s="6" t="s">
        <v>580</v>
      </c>
      <c r="E228" s="6" t="s">
        <v>28</v>
      </c>
      <c r="F228" s="6"/>
      <c r="G228" s="6" t="s">
        <v>14</v>
      </c>
      <c r="H228" s="7" t="n">
        <v>43048.1266607755</v>
      </c>
      <c r="I228" s="8" t="n">
        <v>43048.1266607755</v>
      </c>
      <c r="J228" s="7" t="n">
        <v>43045.7353090509</v>
      </c>
      <c r="K228" s="8" t="n">
        <v>43045.7353090509</v>
      </c>
      <c r="L228" s="6" t="s">
        <v>15</v>
      </c>
      <c r="M228" s="6"/>
      <c r="N228" s="6"/>
      <c r="O228" s="6"/>
      <c r="P228" s="6" t="s">
        <v>16</v>
      </c>
      <c r="Q228" s="0" t="n">
        <f>TODAY()-j228</f>
        <v>224.26469094910135</v>
      </c>
      <c r="R228" t="str">
        <f>VLOOKUP(A228,'Last Week'!A4:I397,7,FALSE)</f>
        <v>CLOSED</v>
      </c>
    </row>
    <row collapsed="false" customFormat="false" customHeight="true" hidden="false" ht="23.85" outlineLevel="0" r="229">
      <c r="A229" s="6" t="s">
        <v>581</v>
      </c>
      <c r="B229" s="6" t="s">
        <v>582</v>
      </c>
      <c r="C229" s="6"/>
      <c r="D229" s="6" t="s">
        <v>61</v>
      </c>
      <c r="E229" s="6" t="s">
        <v>72</v>
      </c>
      <c r="F229" s="6"/>
      <c r="G229" s="6" t="s">
        <v>14</v>
      </c>
      <c r="H229" s="7" t="n">
        <v>43049.1266979282</v>
      </c>
      <c r="I229" s="8" t="n">
        <v>43049.1266979282</v>
      </c>
      <c r="J229" s="7" t="n">
        <v>43046.6503018287</v>
      </c>
      <c r="K229" s="8" t="n">
        <v>43046.6503018287</v>
      </c>
      <c r="L229" s="6" t="s">
        <v>15</v>
      </c>
      <c r="M229" s="6"/>
      <c r="N229" s="6"/>
      <c r="O229" s="6"/>
      <c r="P229" s="6" t="s">
        <v>16</v>
      </c>
      <c r="Q229" s="0" t="n">
        <f>TODAY()-j229</f>
        <v>223.34969817130332</v>
      </c>
      <c r="R229" t="str">
        <f>VLOOKUP(A229,'Last Week'!A4:I397,7,FALSE)</f>
        <v>CLOSED</v>
      </c>
    </row>
    <row collapsed="false" customFormat="false" customHeight="true" hidden="false" ht="23.85" outlineLevel="0" r="230">
      <c r="A230" s="6" t="s">
        <v>583</v>
      </c>
      <c r="B230" s="6" t="s">
        <v>300</v>
      </c>
      <c r="C230" s="6"/>
      <c r="D230" s="6" t="s">
        <v>125</v>
      </c>
      <c r="E230" s="6" t="s">
        <v>126</v>
      </c>
      <c r="F230" s="6"/>
      <c r="G230" s="6" t="s">
        <v>14</v>
      </c>
      <c r="H230" s="7" t="n">
        <v>43051.7089090509</v>
      </c>
      <c r="I230" s="8" t="n">
        <v>43051.7089090509</v>
      </c>
      <c r="J230" s="7" t="n">
        <v>43047.4163806713</v>
      </c>
      <c r="K230" s="8" t="n">
        <v>43047.4163806713</v>
      </c>
      <c r="L230" s="6" t="s">
        <v>15</v>
      </c>
      <c r="M230" s="6"/>
      <c r="N230" s="6"/>
      <c r="O230" s="6"/>
      <c r="P230" s="6" t="s">
        <v>16</v>
      </c>
      <c r="Q230" s="0" t="n">
        <f>TODAY()-j230</f>
        <v>222.5836193287032</v>
      </c>
      <c r="R230" t="str">
        <f>VLOOKUP(A230,'Last Week'!A4:I397,7,FALSE)</f>
        <v>CLOSED</v>
      </c>
    </row>
    <row collapsed="false" customFormat="false" customHeight="true" hidden="false" ht="23.85" outlineLevel="0" r="231">
      <c r="A231" s="6" t="s">
        <v>584</v>
      </c>
      <c r="B231" s="6" t="s">
        <v>585</v>
      </c>
      <c r="C231" s="6"/>
      <c r="D231" s="6" t="s">
        <v>586</v>
      </c>
      <c r="E231" s="6" t="s">
        <v>72</v>
      </c>
      <c r="F231" s="6"/>
      <c r="G231" s="6" t="s">
        <v>85</v>
      </c>
      <c r="H231" s="7" t="n">
        <v>43054.3823734144</v>
      </c>
      <c r="I231" s="8" t="n">
        <v>43054.3823734144</v>
      </c>
      <c r="J231" s="7" t="n">
        <v>43047.6582496991</v>
      </c>
      <c r="K231" s="8" t="n">
        <v>43047.6582496991</v>
      </c>
      <c r="L231" s="6" t="s">
        <v>15</v>
      </c>
      <c r="M231" s="6"/>
      <c r="N231" s="6"/>
      <c r="O231" s="6"/>
      <c r="P231" s="6" t="s">
        <v>16</v>
      </c>
      <c r="Q231" s="0" t="n">
        <f>TODAY()-j231</f>
        <v>222.34175030089682</v>
      </c>
      <c r="R231" t="str">
        <f>VLOOKUP(A231,'Last Week'!A4:I397,7,FALSE)</f>
        <v>CANCELLED</v>
      </c>
    </row>
    <row collapsed="false" customFormat="false" customHeight="true" hidden="false" ht="35.05" outlineLevel="0" r="232">
      <c r="A232" s="6" t="s">
        <v>587</v>
      </c>
      <c r="B232" s="6" t="s">
        <v>588</v>
      </c>
      <c r="C232" s="6"/>
      <c r="D232" s="6" t="s">
        <v>140</v>
      </c>
      <c r="E232" s="6" t="s">
        <v>28</v>
      </c>
      <c r="F232" s="6"/>
      <c r="G232" s="6" t="s">
        <v>14</v>
      </c>
      <c r="H232" s="7" t="n">
        <v>43051.7505694213</v>
      </c>
      <c r="I232" s="8" t="n">
        <v>43051.7505694213</v>
      </c>
      <c r="J232" s="7" t="n">
        <v>43047.828174375</v>
      </c>
      <c r="K232" s="8" t="n">
        <v>43047.828174375</v>
      </c>
      <c r="L232" s="6" t="s">
        <v>15</v>
      </c>
      <c r="M232" s="6"/>
      <c r="N232" s="6"/>
      <c r="O232" s="6"/>
      <c r="P232" s="6" t="s">
        <v>16</v>
      </c>
      <c r="Q232" s="0" t="n">
        <f>TODAY()-j232</f>
        <v>222.17182562500238</v>
      </c>
      <c r="R232" t="str">
        <f>VLOOKUP(A232,'Last Week'!A4:I397,7,FALSE)</f>
        <v>CLOSED</v>
      </c>
    </row>
    <row collapsed="false" customFormat="false" customHeight="true" hidden="false" ht="23.85" outlineLevel="0" r="233">
      <c r="A233" s="6" t="s">
        <v>589</v>
      </c>
      <c r="B233" s="6" t="s">
        <v>300</v>
      </c>
      <c r="C233" s="6"/>
      <c r="D233" s="6" t="s">
        <v>125</v>
      </c>
      <c r="E233" s="6" t="s">
        <v>126</v>
      </c>
      <c r="F233" s="6"/>
      <c r="G233" s="6" t="s">
        <v>14</v>
      </c>
      <c r="H233" s="7" t="n">
        <v>43056.1265618866</v>
      </c>
      <c r="I233" s="8" t="n">
        <v>43056.1265618866</v>
      </c>
      <c r="J233" s="7" t="n">
        <v>43053.3980919329</v>
      </c>
      <c r="K233" s="8" t="n">
        <v>43053.3980919329</v>
      </c>
      <c r="L233" s="6" t="s">
        <v>15</v>
      </c>
      <c r="M233" s="6"/>
      <c r="N233" s="6"/>
      <c r="O233" s="6"/>
      <c r="P233" s="6" t="s">
        <v>16</v>
      </c>
      <c r="Q233" s="0" t="n">
        <f>TODAY()-j233</f>
        <v>216.60190806710307</v>
      </c>
      <c r="R233" t="str">
        <f>VLOOKUP(A233,'Last Week'!A4:I397,7,FALSE)</f>
        <v>CLOSED</v>
      </c>
    </row>
    <row collapsed="false" customFormat="false" customHeight="true" hidden="false" ht="23.85" outlineLevel="0" r="234">
      <c r="A234" s="6" t="s">
        <v>590</v>
      </c>
      <c r="B234" s="6" t="s">
        <v>591</v>
      </c>
      <c r="C234" s="6"/>
      <c r="D234" s="6" t="s">
        <v>592</v>
      </c>
      <c r="E234" s="6" t="s">
        <v>126</v>
      </c>
      <c r="F234" s="6"/>
      <c r="G234" s="6" t="s">
        <v>14</v>
      </c>
      <c r="H234" s="7" t="n">
        <v>43056.1265742014</v>
      </c>
      <c r="I234" s="8" t="n">
        <v>43056.1265742014</v>
      </c>
      <c r="J234" s="7" t="n">
        <v>43053.5192157523</v>
      </c>
      <c r="K234" s="8" t="n">
        <v>43053.5192157523</v>
      </c>
      <c r="L234" s="6" t="s">
        <v>15</v>
      </c>
      <c r="M234" s="6"/>
      <c r="N234" s="6"/>
      <c r="O234" s="6"/>
      <c r="P234" s="6" t="s">
        <v>16</v>
      </c>
      <c r="Q234" s="0" t="n">
        <f>TODAY()-j234</f>
        <v>216.4807842477021</v>
      </c>
      <c r="R234" t="str">
        <f>VLOOKUP(A234,'Last Week'!A4:I397,7,FALSE)</f>
        <v>CLOSED</v>
      </c>
    </row>
    <row collapsed="false" customFormat="false" customHeight="true" hidden="false" ht="23.85" outlineLevel="0" r="235">
      <c r="A235" s="6" t="s">
        <v>593</v>
      </c>
      <c r="B235" s="6" t="s">
        <v>377</v>
      </c>
      <c r="C235" s="6"/>
      <c r="D235" s="6" t="s">
        <v>594</v>
      </c>
      <c r="E235" s="6" t="s">
        <v>241</v>
      </c>
      <c r="F235" s="6"/>
      <c r="G235" s="6" t="s">
        <v>14</v>
      </c>
      <c r="H235" s="7" t="n">
        <v>43062.1257914699</v>
      </c>
      <c r="I235" s="8" t="n">
        <v>43062.1257914699</v>
      </c>
      <c r="J235" s="7" t="n">
        <v>43053.6984472106</v>
      </c>
      <c r="K235" s="8" t="n">
        <v>43053.6984472106</v>
      </c>
      <c r="L235" s="6" t="s">
        <v>15</v>
      </c>
      <c r="M235" s="6"/>
      <c r="N235" s="6"/>
      <c r="O235" s="6"/>
      <c r="P235" s="6" t="s">
        <v>16</v>
      </c>
      <c r="Q235" s="0" t="n">
        <f>TODAY()-j235</f>
        <v>216.3015527894022</v>
      </c>
      <c r="R235" t="str">
        <f>VLOOKUP(A235,'Last Week'!A4:I397,7,FALSE)</f>
        <v>CLOSED</v>
      </c>
    </row>
    <row collapsed="false" customFormat="false" customHeight="true" hidden="false" ht="35.05" outlineLevel="0" r="236">
      <c r="A236" s="6" t="s">
        <v>595</v>
      </c>
      <c r="B236" s="6" t="s">
        <v>596</v>
      </c>
      <c r="C236" s="6"/>
      <c r="D236" s="6" t="s">
        <v>61</v>
      </c>
      <c r="E236" s="6" t="s">
        <v>50</v>
      </c>
      <c r="F236" s="6"/>
      <c r="G236" s="6" t="s">
        <v>14</v>
      </c>
      <c r="H236" s="7" t="n">
        <v>43062.1258099769</v>
      </c>
      <c r="I236" s="8" t="n">
        <v>43062.1258099769</v>
      </c>
      <c r="J236" s="7" t="n">
        <v>43055.2699872338</v>
      </c>
      <c r="K236" s="8" t="n">
        <v>43055.2699872338</v>
      </c>
      <c r="L236" s="6" t="s">
        <v>15</v>
      </c>
      <c r="M236" s="6"/>
      <c r="N236" s="6"/>
      <c r="O236" s="6"/>
      <c r="P236" s="6" t="s">
        <v>16</v>
      </c>
      <c r="Q236" s="0" t="n">
        <f>TODAY()-j236</f>
        <v>214.73001276620198</v>
      </c>
      <c r="R236" t="str">
        <f>VLOOKUP(A236,'Last Week'!A4:I397,7,FALSE)</f>
        <v>CLOSED</v>
      </c>
    </row>
    <row collapsed="false" customFormat="false" customHeight="true" hidden="false" ht="35.05" outlineLevel="0" r="237">
      <c r="A237" s="6" t="s">
        <v>597</v>
      </c>
      <c r="B237" s="6" t="s">
        <v>598</v>
      </c>
      <c r="C237" s="6"/>
      <c r="D237" s="6" t="s">
        <v>599</v>
      </c>
      <c r="E237" s="6" t="s">
        <v>24</v>
      </c>
      <c r="F237" s="6"/>
      <c r="G237" s="6" t="s">
        <v>14</v>
      </c>
      <c r="H237" s="7" t="n">
        <v>43062.1258165857</v>
      </c>
      <c r="I237" s="8" t="n">
        <v>43062.1258165857</v>
      </c>
      <c r="J237" s="7" t="n">
        <v>43055.4858016088</v>
      </c>
      <c r="K237" s="8" t="n">
        <v>43055.4858016088</v>
      </c>
      <c r="L237" s="6" t="s">
        <v>15</v>
      </c>
      <c r="M237" s="6"/>
      <c r="N237" s="6"/>
      <c r="O237" s="6"/>
      <c r="P237" s="6" t="s">
        <v>16</v>
      </c>
      <c r="Q237" s="0" t="n">
        <f>TODAY()-j237</f>
        <v>214.51419839120354</v>
      </c>
      <c r="R237" t="str">
        <f>VLOOKUP(A237,'Last Week'!A4:I397,7,FALSE)</f>
        <v>CLOSED</v>
      </c>
    </row>
    <row collapsed="false" customFormat="false" customHeight="true" hidden="false" ht="35.05" outlineLevel="0" r="238">
      <c r="A238" s="6" t="s">
        <v>600</v>
      </c>
      <c r="B238" s="6" t="s">
        <v>601</v>
      </c>
      <c r="C238" s="6"/>
      <c r="D238" s="6" t="s">
        <v>140</v>
      </c>
      <c r="E238" s="6" t="s">
        <v>28</v>
      </c>
      <c r="F238" s="6"/>
      <c r="G238" s="6" t="s">
        <v>14</v>
      </c>
      <c r="H238" s="7" t="n">
        <v>43062.125830544</v>
      </c>
      <c r="I238" s="8" t="n">
        <v>43062.125830544</v>
      </c>
      <c r="J238" s="7" t="n">
        <v>43055.9787445023</v>
      </c>
      <c r="K238" s="8" t="n">
        <v>43055.9787445023</v>
      </c>
      <c r="L238" s="6" t="s">
        <v>15</v>
      </c>
      <c r="M238" s="6"/>
      <c r="N238" s="6"/>
      <c r="O238" s="6"/>
      <c r="P238" s="6" t="s">
        <v>16</v>
      </c>
      <c r="Q238" s="0" t="n">
        <f>TODAY()-j238</f>
        <v>214.02125549769698</v>
      </c>
      <c r="R238" t="str">
        <f>VLOOKUP(A238,'Last Week'!A4:I397,7,FALSE)</f>
        <v>CLOSED</v>
      </c>
    </row>
    <row collapsed="false" customFormat="false" customHeight="true" hidden="false" ht="35.05" outlineLevel="0" r="239">
      <c r="A239" s="6" t="s">
        <v>602</v>
      </c>
      <c r="B239" s="6" t="s">
        <v>603</v>
      </c>
      <c r="C239" s="6"/>
      <c r="D239" s="6" t="s">
        <v>140</v>
      </c>
      <c r="E239" s="6" t="s">
        <v>28</v>
      </c>
      <c r="F239" s="6"/>
      <c r="G239" s="6" t="s">
        <v>14</v>
      </c>
      <c r="H239" s="7" t="n">
        <v>43062.1258320023</v>
      </c>
      <c r="I239" s="8" t="n">
        <v>43062.1258320023</v>
      </c>
      <c r="J239" s="7" t="n">
        <v>43055.9801971296</v>
      </c>
      <c r="K239" s="8" t="n">
        <v>43055.9801971296</v>
      </c>
      <c r="L239" s="6" t="s">
        <v>15</v>
      </c>
      <c r="M239" s="6"/>
      <c r="N239" s="6"/>
      <c r="O239" s="6"/>
      <c r="P239" s="6" t="s">
        <v>16</v>
      </c>
      <c r="Q239" s="0" t="n">
        <f>TODAY()-j239</f>
        <v>214.0198028704035</v>
      </c>
      <c r="R239" t="str">
        <f>VLOOKUP(A239,'Last Week'!A4:I397,7,FALSE)</f>
        <v>CLOSED</v>
      </c>
    </row>
    <row collapsed="false" customFormat="false" customHeight="true" hidden="false" ht="23.85" outlineLevel="0" r="240">
      <c r="A240" s="6" t="s">
        <v>604</v>
      </c>
      <c r="B240" s="6" t="s">
        <v>561</v>
      </c>
      <c r="C240" s="6"/>
      <c r="D240" s="6" t="s">
        <v>605</v>
      </c>
      <c r="E240" s="6" t="s">
        <v>108</v>
      </c>
      <c r="F240" s="6"/>
      <c r="G240" s="6" t="s">
        <v>14</v>
      </c>
      <c r="H240" s="7" t="n">
        <v>43063.6805823495</v>
      </c>
      <c r="I240" s="8" t="n">
        <v>43063.6805823495</v>
      </c>
      <c r="J240" s="7" t="n">
        <v>43056.3661859607</v>
      </c>
      <c r="K240" s="8" t="n">
        <v>43056.3661859607</v>
      </c>
      <c r="L240" s="6" t="s">
        <v>15</v>
      </c>
      <c r="M240" s="6"/>
      <c r="N240" s="6"/>
      <c r="O240" s="6"/>
      <c r="P240" s="6" t="s">
        <v>16</v>
      </c>
      <c r="Q240" s="0" t="n">
        <f>TODAY()-j240</f>
        <v>213.63381403929816</v>
      </c>
      <c r="R240" t="str">
        <f>VLOOKUP(A240,'Last Week'!A4:I397,7,FALSE)</f>
        <v>CLOSED</v>
      </c>
    </row>
    <row collapsed="false" customFormat="false" customHeight="true" hidden="false" ht="23.85" outlineLevel="0" r="241">
      <c r="A241" s="6" t="s">
        <v>606</v>
      </c>
      <c r="B241" s="6" t="s">
        <v>607</v>
      </c>
      <c r="C241" s="6"/>
      <c r="D241" s="6" t="s">
        <v>608</v>
      </c>
      <c r="E241" s="6" t="s">
        <v>24</v>
      </c>
      <c r="F241" s="6"/>
      <c r="G241" s="6" t="s">
        <v>14</v>
      </c>
      <c r="H241" s="7" t="n">
        <v>43065.4930931945</v>
      </c>
      <c r="I241" s="8" t="n">
        <v>43065.4930931945</v>
      </c>
      <c r="J241" s="7" t="n">
        <v>43059.4815082523</v>
      </c>
      <c r="K241" s="8" t="n">
        <v>43059.4815082523</v>
      </c>
      <c r="L241" s="6" t="s">
        <v>15</v>
      </c>
      <c r="M241" s="6"/>
      <c r="N241" s="6"/>
      <c r="O241" s="6"/>
      <c r="P241" s="6" t="s">
        <v>16</v>
      </c>
      <c r="Q241" s="0" t="n">
        <f>TODAY()-j241</f>
        <v>210.51849174770177</v>
      </c>
      <c r="R241" t="str">
        <f>VLOOKUP(A241,'Last Week'!A4:I397,7,FALSE)</f>
        <v>CLOSED</v>
      </c>
    </row>
    <row collapsed="false" customFormat="false" customHeight="true" hidden="false" ht="23.85" outlineLevel="0" r="242">
      <c r="A242" s="6" t="s">
        <v>609</v>
      </c>
      <c r="B242" s="6" t="s">
        <v>610</v>
      </c>
      <c r="C242" s="6"/>
      <c r="D242" s="6" t="s">
        <v>611</v>
      </c>
      <c r="E242" s="6" t="s">
        <v>33</v>
      </c>
      <c r="F242" s="6"/>
      <c r="G242" s="6" t="s">
        <v>14</v>
      </c>
      <c r="H242" s="7" t="n">
        <v>43071.125871713</v>
      </c>
      <c r="I242" s="8" t="n">
        <v>43071.125871713</v>
      </c>
      <c r="J242" s="7" t="n">
        <v>43059.7112390162</v>
      </c>
      <c r="K242" s="8" t="n">
        <v>43059.7112390162</v>
      </c>
      <c r="L242" s="6" t="s">
        <v>15</v>
      </c>
      <c r="M242" s="6"/>
      <c r="N242" s="6"/>
      <c r="O242" s="6"/>
      <c r="P242" s="6" t="s">
        <v>16</v>
      </c>
      <c r="Q242" s="0" t="n">
        <f>TODAY()-j242</f>
        <v>210.28876098379988</v>
      </c>
      <c r="R242" t="str">
        <f>VLOOKUP(A242,'Last Week'!A4:I397,7,FALSE)</f>
        <v>CLOSED</v>
      </c>
    </row>
    <row collapsed="false" customFormat="false" customHeight="true" hidden="false" ht="23.85" outlineLevel="0" r="243">
      <c r="A243" s="6" t="s">
        <v>612</v>
      </c>
      <c r="B243" s="6" t="s">
        <v>613</v>
      </c>
      <c r="C243" s="6"/>
      <c r="D243" s="6" t="s">
        <v>614</v>
      </c>
      <c r="E243" s="6" t="s">
        <v>615</v>
      </c>
      <c r="F243" s="6"/>
      <c r="G243" s="6" t="s">
        <v>14</v>
      </c>
      <c r="H243" s="7" t="n">
        <v>43064.6111421296</v>
      </c>
      <c r="I243" s="8" t="n">
        <v>43064.6111421296</v>
      </c>
      <c r="J243" s="7" t="n">
        <v>43059.7485373727</v>
      </c>
      <c r="K243" s="8" t="n">
        <v>43059.7485373727</v>
      </c>
      <c r="L243" s="6" t="s">
        <v>15</v>
      </c>
      <c r="M243" s="6"/>
      <c r="N243" s="6"/>
      <c r="O243" s="6"/>
      <c r="P243" s="6" t="s">
        <v>16</v>
      </c>
      <c r="Q243" s="0" t="n">
        <f>TODAY()-j243</f>
        <v>210.25146262729686</v>
      </c>
      <c r="R243" t="str">
        <f>VLOOKUP(A243,'Last Week'!A4:I397,7,FALSE)</f>
        <v>CLOSED</v>
      </c>
    </row>
    <row collapsed="false" customFormat="false" customHeight="true" hidden="false" ht="46.25" outlineLevel="0" r="244">
      <c r="A244" s="6" t="s">
        <v>616</v>
      </c>
      <c r="B244" s="6" t="s">
        <v>617</v>
      </c>
      <c r="C244" s="6"/>
      <c r="D244" s="6" t="s">
        <v>392</v>
      </c>
      <c r="E244" s="6" t="s">
        <v>50</v>
      </c>
      <c r="F244" s="6"/>
      <c r="G244" s="6" t="s">
        <v>14</v>
      </c>
      <c r="H244" s="7" t="n">
        <v>43064.1258491319</v>
      </c>
      <c r="I244" s="8" t="n">
        <v>43064.1258491319</v>
      </c>
      <c r="J244" s="7" t="n">
        <v>43061.2895396528</v>
      </c>
      <c r="K244" s="8" t="n">
        <v>43061.2895396528</v>
      </c>
      <c r="L244" s="6" t="s">
        <v>15</v>
      </c>
      <c r="M244" s="6"/>
      <c r="N244" s="6"/>
      <c r="O244" s="6"/>
      <c r="P244" s="6" t="s">
        <v>16</v>
      </c>
      <c r="Q244" s="0" t="n">
        <f>TODAY()-j244</f>
        <v>208.71046034720348</v>
      </c>
      <c r="R244" t="str">
        <f>VLOOKUP(A244,'Last Week'!A4:I397,7,FALSE)</f>
        <v>CLOSED</v>
      </c>
    </row>
    <row collapsed="false" customFormat="false" customHeight="true" hidden="false" ht="23.85" outlineLevel="0" r="245">
      <c r="A245" s="6" t="s">
        <v>618</v>
      </c>
      <c r="B245" s="6" t="s">
        <v>619</v>
      </c>
      <c r="C245" s="6"/>
      <c r="D245" s="6" t="s">
        <v>620</v>
      </c>
      <c r="E245" s="6" t="s">
        <v>229</v>
      </c>
      <c r="F245" s="6"/>
      <c r="G245" s="6" t="s">
        <v>14</v>
      </c>
      <c r="H245" s="7" t="n">
        <v>43068.2919915278</v>
      </c>
      <c r="I245" s="8" t="n">
        <v>43068.2919915278</v>
      </c>
      <c r="J245" s="7" t="n">
        <v>43062.8772528588</v>
      </c>
      <c r="K245" s="8" t="n">
        <v>43062.8772528588</v>
      </c>
      <c r="L245" s="6" t="s">
        <v>15</v>
      </c>
      <c r="M245" s="6"/>
      <c r="N245" s="6"/>
      <c r="O245" s="6"/>
      <c r="P245" s="6" t="s">
        <v>16</v>
      </c>
      <c r="Q245" s="0" t="n">
        <f>TODAY()-j245</f>
        <v>207.1227471411985</v>
      </c>
      <c r="R245" t="str">
        <f>VLOOKUP(A245,'Last Week'!A4:I397,7,FALSE)</f>
        <v>CLOSED</v>
      </c>
    </row>
    <row collapsed="false" customFormat="false" customHeight="true" hidden="false" ht="23.85" outlineLevel="0" r="246">
      <c r="A246" s="6" t="s">
        <v>621</v>
      </c>
      <c r="B246" s="6" t="s">
        <v>622</v>
      </c>
      <c r="C246" s="6"/>
      <c r="D246" s="6" t="s">
        <v>140</v>
      </c>
      <c r="E246" s="6" t="s">
        <v>175</v>
      </c>
      <c r="F246" s="6"/>
      <c r="G246" s="6" t="s">
        <v>14</v>
      </c>
      <c r="H246" s="7" t="n">
        <v>43071.1258778704</v>
      </c>
      <c r="I246" s="8" t="n">
        <v>43071.1258778704</v>
      </c>
      <c r="J246" s="7" t="n">
        <v>43063.8399084144</v>
      </c>
      <c r="K246" s="8" t="n">
        <v>43063.8399084144</v>
      </c>
      <c r="L246" s="6" t="s">
        <v>15</v>
      </c>
      <c r="M246" s="6"/>
      <c r="N246" s="6"/>
      <c r="O246" s="6"/>
      <c r="P246" s="6" t="s">
        <v>16</v>
      </c>
      <c r="Q246" s="0" t="n">
        <f>TODAY()-j246</f>
        <v>206.16009158560337</v>
      </c>
      <c r="R246" t="str">
        <f>VLOOKUP(A246,'Last Week'!A4:I397,7,FALSE)</f>
        <v>CLOSED</v>
      </c>
    </row>
    <row collapsed="false" customFormat="false" customHeight="true" hidden="false" ht="23.85" outlineLevel="0" r="247">
      <c r="A247" s="6" t="s">
        <v>623</v>
      </c>
      <c r="B247" s="6" t="s">
        <v>624</v>
      </c>
      <c r="C247" s="6"/>
      <c r="D247" s="6" t="s">
        <v>625</v>
      </c>
      <c r="E247" s="6" t="s">
        <v>28</v>
      </c>
      <c r="F247" s="6"/>
      <c r="G247" s="6" t="s">
        <v>14</v>
      </c>
      <c r="H247" s="7" t="n">
        <v>43071.3336226968</v>
      </c>
      <c r="I247" s="8" t="n">
        <v>43071.3336226968</v>
      </c>
      <c r="J247" s="7" t="n">
        <v>43067.763853125</v>
      </c>
      <c r="K247" s="8" t="n">
        <v>43067.763853125</v>
      </c>
      <c r="L247" s="6" t="s">
        <v>15</v>
      </c>
      <c r="M247" s="6"/>
      <c r="N247" s="6"/>
      <c r="O247" s="6"/>
      <c r="P247" s="6" t="s">
        <v>16</v>
      </c>
      <c r="Q247" s="0" t="n">
        <f>TODAY()-j247</f>
        <v>202.2361468750023</v>
      </c>
      <c r="R247" t="str">
        <f>VLOOKUP(A247,'Last Week'!A4:I397,7,FALSE)</f>
        <v>CLOSED</v>
      </c>
    </row>
    <row collapsed="false" customFormat="false" customHeight="true" hidden="false" ht="23.85" outlineLevel="0" r="248">
      <c r="A248" s="6" t="s">
        <v>626</v>
      </c>
      <c r="B248" s="6" t="s">
        <v>627</v>
      </c>
      <c r="C248" s="6"/>
      <c r="D248" s="6" t="s">
        <v>628</v>
      </c>
      <c r="E248" s="6" t="s">
        <v>215</v>
      </c>
      <c r="F248" s="6"/>
      <c r="G248" s="6" t="s">
        <v>14</v>
      </c>
      <c r="H248" s="7" t="n">
        <v>43072.7224245255</v>
      </c>
      <c r="I248" s="8" t="n">
        <v>43072.7224245255</v>
      </c>
      <c r="J248" s="7" t="n">
        <v>43068.6090155093</v>
      </c>
      <c r="K248" s="8" t="n">
        <v>43068.6090155093</v>
      </c>
      <c r="L248" s="6" t="s">
        <v>15</v>
      </c>
      <c r="M248" s="6"/>
      <c r="N248" s="6"/>
      <c r="O248" s="6"/>
      <c r="P248" s="6" t="s">
        <v>16</v>
      </c>
      <c r="Q248" s="0" t="n">
        <f>TODAY()-j248</f>
        <v>201.39098449070298</v>
      </c>
      <c r="R248" t="str">
        <f>VLOOKUP(A248,'Last Week'!A4:I397,7,FALSE)</f>
        <v>CLOSED</v>
      </c>
    </row>
    <row collapsed="false" customFormat="false" customHeight="true" hidden="false" ht="46.25" outlineLevel="0" r="249">
      <c r="A249" s="6" t="s">
        <v>629</v>
      </c>
      <c r="B249" s="6" t="s">
        <v>630</v>
      </c>
      <c r="C249" s="6"/>
      <c r="D249" s="6" t="s">
        <v>479</v>
      </c>
      <c r="E249" s="6" t="s">
        <v>215</v>
      </c>
      <c r="F249" s="6"/>
      <c r="G249" s="6" t="s">
        <v>14</v>
      </c>
      <c r="H249" s="7" t="n">
        <v>43077.3544960995</v>
      </c>
      <c r="I249" s="8" t="n">
        <v>43077.3544960995</v>
      </c>
      <c r="J249" s="7" t="n">
        <v>43069.6145112963</v>
      </c>
      <c r="K249" s="8" t="n">
        <v>43069.6145112963</v>
      </c>
      <c r="L249" s="6" t="s">
        <v>15</v>
      </c>
      <c r="M249" s="6"/>
      <c r="N249" s="6"/>
      <c r="O249" s="6"/>
      <c r="P249" s="6" t="s">
        <v>58</v>
      </c>
      <c r="Q249" s="0" t="n">
        <f>TODAY()-j249</f>
        <v>200.3854887037014</v>
      </c>
      <c r="R249" t="str">
        <f>VLOOKUP(A249,'Last Week'!A4:I397,7,FALSE)</f>
        <v>CLOSED</v>
      </c>
    </row>
    <row collapsed="false" customFormat="false" customHeight="true" hidden="false" ht="23.85" outlineLevel="0" r="250">
      <c r="A250" s="6" t="s">
        <v>631</v>
      </c>
      <c r="B250" s="6" t="s">
        <v>632</v>
      </c>
      <c r="C250" s="6"/>
      <c r="D250" s="6" t="s">
        <v>633</v>
      </c>
      <c r="E250" s="6" t="s">
        <v>24</v>
      </c>
      <c r="F250" s="6"/>
      <c r="G250" s="6" t="s">
        <v>14</v>
      </c>
      <c r="H250" s="7" t="n">
        <v>43077.722553206</v>
      </c>
      <c r="I250" s="8" t="n">
        <v>43077.722553206</v>
      </c>
      <c r="J250" s="7" t="n">
        <v>43073.5005332407</v>
      </c>
      <c r="K250" s="8" t="n">
        <v>43073.5005332407</v>
      </c>
      <c r="L250" s="6" t="s">
        <v>15</v>
      </c>
      <c r="M250" s="6"/>
      <c r="N250" s="6"/>
      <c r="O250" s="6"/>
      <c r="P250" s="6" t="s">
        <v>16</v>
      </c>
      <c r="Q250" s="0" t="n">
        <f>TODAY()-j250</f>
        <v>196.49946675929823</v>
      </c>
      <c r="R250" t="str">
        <f>VLOOKUP(A250,'Last Week'!A4:I397,7,FALSE)</f>
        <v>CLOSED</v>
      </c>
    </row>
    <row collapsed="false" customFormat="false" customHeight="true" hidden="false" ht="23.85" outlineLevel="0" r="251">
      <c r="A251" s="6" t="s">
        <v>634</v>
      </c>
      <c r="B251" s="6" t="s">
        <v>577</v>
      </c>
      <c r="C251" s="6"/>
      <c r="D251" s="6" t="s">
        <v>54</v>
      </c>
      <c r="E251" s="6" t="s">
        <v>72</v>
      </c>
      <c r="F251" s="6"/>
      <c r="G251" s="6" t="s">
        <v>14</v>
      </c>
      <c r="H251" s="7" t="n">
        <v>43076.125618287</v>
      </c>
      <c r="I251" s="8" t="n">
        <v>43076.125618287</v>
      </c>
      <c r="J251" s="7" t="n">
        <v>43073.5161557292</v>
      </c>
      <c r="K251" s="8" t="n">
        <v>43073.5161557292</v>
      </c>
      <c r="L251" s="6" t="s">
        <v>15</v>
      </c>
      <c r="M251" s="6"/>
      <c r="N251" s="6"/>
      <c r="O251" s="6"/>
      <c r="P251" s="6" t="s">
        <v>58</v>
      </c>
      <c r="Q251" s="0" t="n">
        <f>TODAY()-j251</f>
        <v>196.48384427079873</v>
      </c>
      <c r="R251" t="str">
        <f>VLOOKUP(A251,'Last Week'!A4:I397,7,FALSE)</f>
        <v>CLOSED</v>
      </c>
    </row>
    <row collapsed="false" customFormat="false" customHeight="true" hidden="false" ht="23.85" outlineLevel="0" r="252">
      <c r="A252" s="6" t="s">
        <v>635</v>
      </c>
      <c r="B252" s="6" t="s">
        <v>53</v>
      </c>
      <c r="C252" s="6"/>
      <c r="D252" s="6" t="s">
        <v>54</v>
      </c>
      <c r="E252" s="6" t="s">
        <v>72</v>
      </c>
      <c r="F252" s="6"/>
      <c r="G252" s="6" t="s">
        <v>14</v>
      </c>
      <c r="H252" s="7" t="n">
        <v>43075.3814581944</v>
      </c>
      <c r="I252" s="8" t="n">
        <v>43075.3814581944</v>
      </c>
      <c r="J252" s="7" t="n">
        <v>43073.5179933681</v>
      </c>
      <c r="K252" s="8" t="n">
        <v>43073.5179933681</v>
      </c>
      <c r="L252" s="6" t="s">
        <v>15</v>
      </c>
      <c r="M252" s="6"/>
      <c r="N252" s="6"/>
      <c r="O252" s="6"/>
      <c r="P252" s="6" t="s">
        <v>46</v>
      </c>
      <c r="Q252" s="0" t="n">
        <f>TODAY()-j252</f>
        <v>196.48200663190073</v>
      </c>
      <c r="R252" t="str">
        <f>VLOOKUP(A252,'Last Week'!A4:I397,7,FALSE)</f>
        <v>CLOSED</v>
      </c>
    </row>
    <row collapsed="false" customFormat="false" customHeight="true" hidden="false" ht="23.85" outlineLevel="0" r="253">
      <c r="A253" s="6" t="s">
        <v>636</v>
      </c>
      <c r="B253" s="6" t="s">
        <v>637</v>
      </c>
      <c r="C253" s="6"/>
      <c r="D253" s="6" t="s">
        <v>54</v>
      </c>
      <c r="E253" s="6" t="s">
        <v>55</v>
      </c>
      <c r="F253" s="6"/>
      <c r="G253" s="6" t="s">
        <v>14</v>
      </c>
      <c r="H253" s="7" t="n">
        <v>43076.1257157407</v>
      </c>
      <c r="I253" s="8" t="n">
        <v>43076.1257157407</v>
      </c>
      <c r="J253" s="7" t="n">
        <v>43073.7235153588</v>
      </c>
      <c r="K253" s="8" t="n">
        <v>43073.7235153588</v>
      </c>
      <c r="L253" s="6" t="s">
        <v>15</v>
      </c>
      <c r="M253" s="6"/>
      <c r="N253" s="6"/>
      <c r="O253" s="6"/>
      <c r="P253" s="6" t="s">
        <v>58</v>
      </c>
      <c r="Q253" s="0" t="n">
        <f>TODAY()-j253</f>
        <v>196.27648464120284</v>
      </c>
      <c r="R253" t="str">
        <f>VLOOKUP(A253,'Last Week'!A4:I397,7,FALSE)</f>
        <v>CLOSED</v>
      </c>
    </row>
    <row collapsed="false" customFormat="false" customHeight="true" hidden="false" ht="57.45" outlineLevel="0" r="254">
      <c r="A254" s="6" t="s">
        <v>638</v>
      </c>
      <c r="B254" s="6" t="s">
        <v>504</v>
      </c>
      <c r="C254" s="6"/>
      <c r="D254" s="6" t="s">
        <v>639</v>
      </c>
      <c r="E254" s="6" t="s">
        <v>28</v>
      </c>
      <c r="F254" s="6"/>
      <c r="G254" s="6" t="s">
        <v>14</v>
      </c>
      <c r="H254" s="7" t="n">
        <v>43076.3336539815</v>
      </c>
      <c r="I254" s="8" t="n">
        <v>43076.3336539815</v>
      </c>
      <c r="J254" s="7" t="n">
        <v>43073.9537369792</v>
      </c>
      <c r="K254" s="8" t="n">
        <v>43073.9537369792</v>
      </c>
      <c r="L254" s="6" t="s">
        <v>15</v>
      </c>
      <c r="M254" s="6"/>
      <c r="N254" s="6"/>
      <c r="O254" s="6"/>
      <c r="P254" s="6" t="s">
        <v>16</v>
      </c>
      <c r="Q254" s="0" t="n">
        <f>TODAY()-j254</f>
        <v>196.0462630207985</v>
      </c>
      <c r="R254" t="str">
        <f>VLOOKUP(A254,'Last Week'!A4:I397,7,FALSE)</f>
        <v>CLOSED</v>
      </c>
    </row>
    <row collapsed="false" customFormat="false" customHeight="true" hidden="false" ht="23.85" outlineLevel="0" r="255">
      <c r="A255" s="6" t="s">
        <v>640</v>
      </c>
      <c r="B255" s="6" t="s">
        <v>271</v>
      </c>
      <c r="C255" s="6"/>
      <c r="D255" s="6" t="s">
        <v>140</v>
      </c>
      <c r="E255" s="6" t="s">
        <v>72</v>
      </c>
      <c r="F255" s="6"/>
      <c r="G255" s="6" t="s">
        <v>14</v>
      </c>
      <c r="H255" s="7" t="n">
        <v>43076.3336571412</v>
      </c>
      <c r="I255" s="8" t="n">
        <v>43076.3336571412</v>
      </c>
      <c r="J255" s="7" t="n">
        <v>43074.5203514931</v>
      </c>
      <c r="K255" s="8" t="n">
        <v>43074.5203514931</v>
      </c>
      <c r="L255" s="6" t="s">
        <v>15</v>
      </c>
      <c r="M255" s="6"/>
      <c r="N255" s="6"/>
      <c r="O255" s="6"/>
      <c r="P255" s="6" t="s">
        <v>16</v>
      </c>
      <c r="Q255" s="0" t="n">
        <f>TODAY()-j255</f>
        <v>195.47964850690187</v>
      </c>
      <c r="R255" t="str">
        <f>VLOOKUP(A255,'Last Week'!A4:I397,7,FALSE)</f>
        <v>CLOSED</v>
      </c>
    </row>
    <row collapsed="false" customFormat="false" customHeight="true" hidden="false" ht="23.85" outlineLevel="0" r="256">
      <c r="A256" s="6" t="s">
        <v>641</v>
      </c>
      <c r="B256" s="6" t="s">
        <v>642</v>
      </c>
      <c r="C256" s="6"/>
      <c r="D256" s="6" t="s">
        <v>643</v>
      </c>
      <c r="E256" s="6" t="s">
        <v>643</v>
      </c>
      <c r="F256" s="6"/>
      <c r="G256" s="6" t="s">
        <v>14</v>
      </c>
      <c r="H256" s="7" t="n">
        <v>43076.3336597685</v>
      </c>
      <c r="I256" s="8" t="n">
        <v>43076.3336597685</v>
      </c>
      <c r="J256" s="7" t="n">
        <v>43074.5221665278</v>
      </c>
      <c r="K256" s="8" t="n">
        <v>43074.5221665278</v>
      </c>
      <c r="L256" s="6" t="s">
        <v>15</v>
      </c>
      <c r="M256" s="6"/>
      <c r="N256" s="6"/>
      <c r="O256" s="6"/>
      <c r="P256" s="6" t="s">
        <v>16</v>
      </c>
      <c r="Q256" s="0" t="n">
        <f>TODAY()-j256</f>
        <v>195.47783347219956</v>
      </c>
      <c r="R256" t="str">
        <f>VLOOKUP(A256,'Last Week'!A4:I397,7,FALSE)</f>
        <v>CLOSED</v>
      </c>
    </row>
    <row collapsed="false" customFormat="false" customHeight="true" hidden="false" ht="35.05" outlineLevel="0" r="257">
      <c r="A257" s="6" t="s">
        <v>644</v>
      </c>
      <c r="B257" s="6" t="s">
        <v>645</v>
      </c>
      <c r="C257" s="6"/>
      <c r="D257" s="6" t="s">
        <v>61</v>
      </c>
      <c r="E257" s="6" t="s">
        <v>72</v>
      </c>
      <c r="F257" s="6"/>
      <c r="G257" s="6" t="s">
        <v>14</v>
      </c>
      <c r="H257" s="7" t="n">
        <v>43083.1254895486</v>
      </c>
      <c r="I257" s="8" t="n">
        <v>43083.1254895486</v>
      </c>
      <c r="J257" s="7" t="n">
        <v>43074.6382029282</v>
      </c>
      <c r="K257" s="8" t="n">
        <v>43074.6382029282</v>
      </c>
      <c r="L257" s="6" t="s">
        <v>15</v>
      </c>
      <c r="M257" s="6"/>
      <c r="N257" s="6"/>
      <c r="O257" s="6"/>
      <c r="P257" s="6" t="s">
        <v>16</v>
      </c>
      <c r="Q257" s="0" t="n">
        <f>TODAY()-j257</f>
        <v>195.3617970717969</v>
      </c>
      <c r="R257" t="str">
        <f>VLOOKUP(A257,'Last Week'!A4:I397,7,FALSE)</f>
        <v>CLOSED</v>
      </c>
    </row>
    <row collapsed="false" customFormat="false" customHeight="true" hidden="false" ht="35.05" outlineLevel="0" r="258">
      <c r="A258" s="6" t="s">
        <v>646</v>
      </c>
      <c r="B258" s="6" t="s">
        <v>647</v>
      </c>
      <c r="C258" s="6"/>
      <c r="D258" s="6" t="s">
        <v>140</v>
      </c>
      <c r="E258" s="6" t="s">
        <v>72</v>
      </c>
      <c r="F258" s="6"/>
      <c r="G258" s="6" t="s">
        <v>14</v>
      </c>
      <c r="H258" s="7" t="n">
        <v>43079.40313375</v>
      </c>
      <c r="I258" s="8" t="n">
        <v>43079.40313375</v>
      </c>
      <c r="J258" s="7" t="n">
        <v>43075.4365063773</v>
      </c>
      <c r="K258" s="8" t="n">
        <v>43075.4365063773</v>
      </c>
      <c r="L258" s="6" t="s">
        <v>15</v>
      </c>
      <c r="M258" s="6"/>
      <c r="N258" s="6"/>
      <c r="O258" s="6"/>
      <c r="P258" s="6" t="s">
        <v>16</v>
      </c>
      <c r="Q258" s="0" t="n">
        <f>TODAY()-j258</f>
        <v>194.56349362269975</v>
      </c>
      <c r="R258" t="str">
        <f>VLOOKUP(A258,'Last Week'!A4:I397,7,FALSE)</f>
        <v>CLOSED</v>
      </c>
    </row>
    <row collapsed="false" customFormat="false" customHeight="true" hidden="false" ht="23.85" outlineLevel="0" r="259">
      <c r="A259" s="6" t="s">
        <v>648</v>
      </c>
      <c r="B259" s="6" t="s">
        <v>649</v>
      </c>
      <c r="C259" s="6"/>
      <c r="D259" s="6" t="s">
        <v>650</v>
      </c>
      <c r="E259" s="6" t="s">
        <v>72</v>
      </c>
      <c r="F259" s="6"/>
      <c r="G259" s="6" t="s">
        <v>14</v>
      </c>
      <c r="H259" s="7" t="n">
        <v>43079.597583912</v>
      </c>
      <c r="I259" s="8" t="n">
        <v>43079.597583912</v>
      </c>
      <c r="J259" s="7" t="n">
        <v>43075.4789425232</v>
      </c>
      <c r="K259" s="8" t="n">
        <v>43075.4789425232</v>
      </c>
      <c r="L259" s="6" t="s">
        <v>15</v>
      </c>
      <c r="M259" s="6"/>
      <c r="N259" s="6"/>
      <c r="O259" s="6"/>
      <c r="P259" s="6" t="s">
        <v>16</v>
      </c>
      <c r="Q259" s="0" t="n">
        <f>TODAY()-j259</f>
        <v>194.5210574767989</v>
      </c>
      <c r="R259" t="str">
        <f>VLOOKUP(A259,'Last Week'!A4:I397,7,FALSE)</f>
        <v>CLOSED</v>
      </c>
    </row>
    <row collapsed="false" customFormat="false" customHeight="true" hidden="false" ht="35.05" outlineLevel="0" r="260">
      <c r="A260" s="6" t="s">
        <v>651</v>
      </c>
      <c r="B260" s="6" t="s">
        <v>652</v>
      </c>
      <c r="C260" s="6"/>
      <c r="D260" s="6" t="s">
        <v>61</v>
      </c>
      <c r="E260" s="6" t="s">
        <v>72</v>
      </c>
      <c r="F260" s="6"/>
      <c r="G260" s="6" t="s">
        <v>14</v>
      </c>
      <c r="H260" s="7" t="n">
        <v>43078.1265904167</v>
      </c>
      <c r="I260" s="8" t="n">
        <v>43078.1265904167</v>
      </c>
      <c r="J260" s="7" t="n">
        <v>43075.5323043403</v>
      </c>
      <c r="K260" s="8" t="n">
        <v>43075.5323043403</v>
      </c>
      <c r="L260" s="6" t="s">
        <v>15</v>
      </c>
      <c r="M260" s="6"/>
      <c r="N260" s="6"/>
      <c r="O260" s="6"/>
      <c r="P260" s="6" t="s">
        <v>16</v>
      </c>
      <c r="Q260" s="0" t="n">
        <f>TODAY()-j260</f>
        <v>194.46769565970317</v>
      </c>
      <c r="R260" t="str">
        <f>VLOOKUP(A260,'Last Week'!A4:I397,7,FALSE)</f>
        <v>CLOSED</v>
      </c>
    </row>
    <row collapsed="false" customFormat="false" customHeight="true" hidden="false" ht="23.85" outlineLevel="0" r="261">
      <c r="A261" s="6" t="s">
        <v>653</v>
      </c>
      <c r="B261" s="6" t="s">
        <v>156</v>
      </c>
      <c r="C261" s="6"/>
      <c r="D261" s="6" t="s">
        <v>140</v>
      </c>
      <c r="E261" s="6" t="s">
        <v>72</v>
      </c>
      <c r="F261" s="6"/>
      <c r="G261" s="6" t="s">
        <v>14</v>
      </c>
      <c r="H261" s="7" t="n">
        <v>43078.1265942245</v>
      </c>
      <c r="I261" s="8" t="n">
        <v>43078.1265942245</v>
      </c>
      <c r="J261" s="7" t="n">
        <v>43075.6058402083</v>
      </c>
      <c r="K261" s="8" t="n">
        <v>43075.6058402083</v>
      </c>
      <c r="L261" s="6" t="s">
        <v>15</v>
      </c>
      <c r="M261" s="6"/>
      <c r="N261" s="6"/>
      <c r="O261" s="6"/>
      <c r="P261" s="6" t="s">
        <v>16</v>
      </c>
      <c r="Q261" s="0" t="n">
        <f>TODAY()-j261</f>
        <v>194.39415979170008</v>
      </c>
      <c r="R261" t="str">
        <f>VLOOKUP(A261,'Last Week'!A4:I397,7,FALSE)</f>
        <v>CLOSED</v>
      </c>
    </row>
    <row collapsed="false" customFormat="false" customHeight="true" hidden="false" ht="23.85" outlineLevel="0" r="262">
      <c r="A262" s="6" t="s">
        <v>654</v>
      </c>
      <c r="B262" s="6" t="s">
        <v>655</v>
      </c>
      <c r="C262" s="6"/>
      <c r="D262" s="6" t="s">
        <v>61</v>
      </c>
      <c r="E262" s="6" t="s">
        <v>72</v>
      </c>
      <c r="F262" s="6"/>
      <c r="G262" s="6" t="s">
        <v>14</v>
      </c>
      <c r="H262" s="7" t="n">
        <v>43084.1259764005</v>
      </c>
      <c r="I262" s="8" t="n">
        <v>43084.1259764005</v>
      </c>
      <c r="J262" s="7" t="n">
        <v>43080.5174248495</v>
      </c>
      <c r="K262" s="8" t="n">
        <v>43080.5174248495</v>
      </c>
      <c r="L262" s="6" t="s">
        <v>15</v>
      </c>
      <c r="M262" s="6"/>
      <c r="N262" s="6"/>
      <c r="O262" s="6"/>
      <c r="P262" s="6" t="s">
        <v>16</v>
      </c>
      <c r="Q262" s="0" t="n">
        <f>TODAY()-j262</f>
        <v>189.48257515049772</v>
      </c>
      <c r="R262" t="str">
        <f>VLOOKUP(A262,'Last Week'!A4:I397,7,FALSE)</f>
        <v>CLOSED</v>
      </c>
    </row>
    <row collapsed="false" customFormat="false" customHeight="true" hidden="false" ht="23.85" outlineLevel="0" r="263">
      <c r="A263" s="6" t="s">
        <v>656</v>
      </c>
      <c r="B263" s="6" t="s">
        <v>271</v>
      </c>
      <c r="C263" s="6"/>
      <c r="D263" s="6" t="s">
        <v>140</v>
      </c>
      <c r="E263" s="6" t="s">
        <v>72</v>
      </c>
      <c r="F263" s="6"/>
      <c r="G263" s="6" t="s">
        <v>14</v>
      </c>
      <c r="H263" s="7" t="n">
        <v>43083.1256501852</v>
      </c>
      <c r="I263" s="8" t="n">
        <v>43083.1256501852</v>
      </c>
      <c r="J263" s="7" t="n">
        <v>43080.5378115857</v>
      </c>
      <c r="K263" s="8" t="n">
        <v>43080.5378115857</v>
      </c>
      <c r="L263" s="6" t="s">
        <v>15</v>
      </c>
      <c r="M263" s="6"/>
      <c r="N263" s="6"/>
      <c r="O263" s="6"/>
      <c r="P263" s="6" t="s">
        <v>16</v>
      </c>
      <c r="Q263" s="0" t="n">
        <f>TODAY()-j263</f>
        <v>189.462188414298</v>
      </c>
      <c r="R263" t="str">
        <f>VLOOKUP(A263,'Last Week'!A4:I397,7,FALSE)</f>
        <v>CLOSED</v>
      </c>
    </row>
    <row collapsed="false" customFormat="false" customHeight="true" hidden="false" ht="23.85" outlineLevel="0" r="264">
      <c r="A264" s="6" t="s">
        <v>657</v>
      </c>
      <c r="B264" s="6" t="s">
        <v>658</v>
      </c>
      <c r="C264" s="6"/>
      <c r="D264" s="6" t="s">
        <v>200</v>
      </c>
      <c r="E264" s="6" t="s">
        <v>72</v>
      </c>
      <c r="F264" s="6"/>
      <c r="G264" s="6" t="s">
        <v>14</v>
      </c>
      <c r="H264" s="7" t="n">
        <v>43084.1257648843</v>
      </c>
      <c r="I264" s="8" t="n">
        <v>43084.1257648843</v>
      </c>
      <c r="J264" s="7" t="n">
        <v>43081.4352826505</v>
      </c>
      <c r="K264" s="8" t="n">
        <v>43081.4352826505</v>
      </c>
      <c r="L264" s="6" t="s">
        <v>15</v>
      </c>
      <c r="M264" s="6"/>
      <c r="N264" s="6"/>
      <c r="O264" s="6"/>
      <c r="P264" s="6" t="s">
        <v>16</v>
      </c>
      <c r="Q264" s="0" t="n">
        <f>TODAY()-j264</f>
        <v>188.56471734950173</v>
      </c>
      <c r="R264" t="str">
        <f>VLOOKUP(A264,'Last Week'!A4:I397,7,FALSE)</f>
        <v>CLOSED</v>
      </c>
    </row>
    <row collapsed="false" customFormat="false" customHeight="true" hidden="false" ht="35.05" outlineLevel="0" r="265">
      <c r="A265" s="6" t="s">
        <v>659</v>
      </c>
      <c r="B265" s="6" t="s">
        <v>660</v>
      </c>
      <c r="C265" s="6"/>
      <c r="D265" s="6" t="s">
        <v>61</v>
      </c>
      <c r="E265" s="6" t="s">
        <v>72</v>
      </c>
      <c r="F265" s="6"/>
      <c r="G265" s="6" t="s">
        <v>14</v>
      </c>
      <c r="H265" s="7" t="n">
        <v>43083.1258732523</v>
      </c>
      <c r="I265" s="8" t="n">
        <v>43083.1258732523</v>
      </c>
      <c r="J265" s="7" t="n">
        <v>43081.5522756829</v>
      </c>
      <c r="K265" s="8" t="n">
        <v>43081.5522756829</v>
      </c>
      <c r="L265" s="6" t="s">
        <v>15</v>
      </c>
      <c r="M265" s="6"/>
      <c r="N265" s="6"/>
      <c r="O265" s="6"/>
      <c r="P265" s="6" t="s">
        <v>16</v>
      </c>
      <c r="Q265" s="0" t="n">
        <f>TODAY()-j265</f>
        <v>188.44772431709862</v>
      </c>
      <c r="R265" t="str">
        <f>VLOOKUP(A265,'Last Week'!A4:I397,7,FALSE)</f>
        <v>CLOSED</v>
      </c>
    </row>
    <row collapsed="false" customFormat="false" customHeight="true" hidden="false" ht="35.05" outlineLevel="0" r="266">
      <c r="A266" s="6" t="s">
        <v>661</v>
      </c>
      <c r="B266" s="6" t="s">
        <v>662</v>
      </c>
      <c r="C266" s="6"/>
      <c r="D266" s="6" t="s">
        <v>61</v>
      </c>
      <c r="E266" s="6" t="s">
        <v>50</v>
      </c>
      <c r="F266" s="6"/>
      <c r="G266" s="6" t="s">
        <v>14</v>
      </c>
      <c r="H266" s="7" t="n">
        <v>43084.1258287847</v>
      </c>
      <c r="I266" s="8" t="n">
        <v>43084.1258287847</v>
      </c>
      <c r="J266" s="7" t="n">
        <v>43082.3107828704</v>
      </c>
      <c r="K266" s="8" t="n">
        <v>43082.3107828704</v>
      </c>
      <c r="L266" s="6" t="s">
        <v>15</v>
      </c>
      <c r="M266" s="6"/>
      <c r="N266" s="6"/>
      <c r="O266" s="6"/>
      <c r="P266" s="6" t="s">
        <v>16</v>
      </c>
      <c r="Q266" s="0" t="n">
        <f>TODAY()-j266</f>
        <v>187.68921712959855</v>
      </c>
      <c r="R266" t="str">
        <f>VLOOKUP(A266,'Last Week'!A4:I397,7,FALSE)</f>
        <v>CLOSED</v>
      </c>
    </row>
    <row collapsed="false" customFormat="false" customHeight="true" hidden="false" ht="35.05" outlineLevel="0" r="267">
      <c r="A267" s="6" t="s">
        <v>663</v>
      </c>
      <c r="B267" s="6" t="s">
        <v>664</v>
      </c>
      <c r="C267" s="6"/>
      <c r="D267" s="6" t="s">
        <v>61</v>
      </c>
      <c r="E267" s="6" t="s">
        <v>72</v>
      </c>
      <c r="F267" s="6"/>
      <c r="G267" s="6" t="s">
        <v>14</v>
      </c>
      <c r="H267" s="7" t="n">
        <v>43090.125590162</v>
      </c>
      <c r="I267" s="8" t="n">
        <v>43090.125590162</v>
      </c>
      <c r="J267" s="7" t="n">
        <v>43082.5181529167</v>
      </c>
      <c r="K267" s="8" t="n">
        <v>43082.5181529167</v>
      </c>
      <c r="L267" s="6" t="s">
        <v>15</v>
      </c>
      <c r="M267" s="6"/>
      <c r="N267" s="6"/>
      <c r="O267" s="6"/>
      <c r="P267" s="6" t="s">
        <v>16</v>
      </c>
      <c r="Q267" s="0" t="n">
        <f>TODAY()-j267</f>
        <v>187.4818470832979</v>
      </c>
      <c r="R267" t="str">
        <f>VLOOKUP(A267,'Last Week'!A4:I397,7,FALSE)</f>
        <v>CLOSED</v>
      </c>
    </row>
    <row collapsed="false" customFormat="false" customHeight="true" hidden="false" ht="23.85" outlineLevel="0" r="268">
      <c r="A268" s="6" t="s">
        <v>665</v>
      </c>
      <c r="B268" s="6" t="s">
        <v>666</v>
      </c>
      <c r="C268" s="6"/>
      <c r="D268" s="6" t="s">
        <v>667</v>
      </c>
      <c r="E268" s="6" t="s">
        <v>667</v>
      </c>
      <c r="F268" s="6"/>
      <c r="G268" s="6" t="s">
        <v>14</v>
      </c>
      <c r="H268" s="7" t="n">
        <v>43090.1256380556</v>
      </c>
      <c r="I268" s="8" t="n">
        <v>43090.1256380556</v>
      </c>
      <c r="J268" s="7" t="n">
        <v>43082.6857708912</v>
      </c>
      <c r="K268" s="8" t="n">
        <v>43082.6857708912</v>
      </c>
      <c r="L268" s="6" t="s">
        <v>15</v>
      </c>
      <c r="M268" s="6"/>
      <c r="N268" s="6"/>
      <c r="O268" s="6"/>
      <c r="P268" s="6" t="s">
        <v>16</v>
      </c>
      <c r="Q268" s="0" t="n">
        <f>TODAY()-j268</f>
        <v>187.31422910880065</v>
      </c>
      <c r="R268" t="str">
        <f>VLOOKUP(A268,'Last Week'!A4:I397,7,FALSE)</f>
        <v>CLOSED</v>
      </c>
    </row>
    <row collapsed="false" customFormat="false" customHeight="true" hidden="false" ht="23.85" outlineLevel="0" r="269">
      <c r="A269" s="6" t="s">
        <v>668</v>
      </c>
      <c r="B269" s="6" t="s">
        <v>658</v>
      </c>
      <c r="C269" s="6"/>
      <c r="D269" s="6" t="s">
        <v>669</v>
      </c>
      <c r="E269" s="6" t="s">
        <v>50</v>
      </c>
      <c r="F269" s="6"/>
      <c r="G269" s="6" t="s">
        <v>14</v>
      </c>
      <c r="H269" s="7" t="n">
        <v>43085.1268268171</v>
      </c>
      <c r="I269" s="8" t="n">
        <v>43085.1268268171</v>
      </c>
      <c r="J269" s="7" t="n">
        <v>43083.0990693287</v>
      </c>
      <c r="K269" s="8" t="n">
        <v>43083.0990693287</v>
      </c>
      <c r="L269" s="6" t="s">
        <v>15</v>
      </c>
      <c r="M269" s="6"/>
      <c r="N269" s="6"/>
      <c r="O269" s="6"/>
      <c r="P269" s="6" t="s">
        <v>16</v>
      </c>
      <c r="Q269" s="0" t="n">
        <f>TODAY()-j269</f>
        <v>186.90093067129783</v>
      </c>
      <c r="R269" t="str">
        <f>VLOOKUP(A269,'Last Week'!A4:I397,7,FALSE)</f>
        <v>CLOSED</v>
      </c>
    </row>
    <row collapsed="false" customFormat="false" customHeight="true" hidden="false" ht="23.85" outlineLevel="0" r="270">
      <c r="A270" s="6" t="s">
        <v>670</v>
      </c>
      <c r="B270" s="6" t="s">
        <v>671</v>
      </c>
      <c r="C270" s="6"/>
      <c r="D270" s="6" t="s">
        <v>672</v>
      </c>
      <c r="E270" s="6" t="s">
        <v>72</v>
      </c>
      <c r="F270" s="6"/>
      <c r="G270" s="6" t="s">
        <v>14</v>
      </c>
      <c r="H270" s="7" t="n">
        <v>43085.2503637963</v>
      </c>
      <c r="I270" s="8" t="n">
        <v>43085.2503637963</v>
      </c>
      <c r="J270" s="7" t="n">
        <v>43083.4629646181</v>
      </c>
      <c r="K270" s="8" t="n">
        <v>43083.4629646181</v>
      </c>
      <c r="L270" s="6" t="s">
        <v>15</v>
      </c>
      <c r="M270" s="6"/>
      <c r="N270" s="6"/>
      <c r="O270" s="6"/>
      <c r="P270" s="6" t="s">
        <v>16</v>
      </c>
      <c r="Q270" s="0" t="n">
        <f>TODAY()-j270</f>
        <v>186.53703538190166</v>
      </c>
      <c r="R270" t="str">
        <f>VLOOKUP(A270,'Last Week'!A4:I397,7,FALSE)</f>
        <v>CLOSED</v>
      </c>
    </row>
    <row collapsed="false" customFormat="false" customHeight="true" hidden="false" ht="23.85" outlineLevel="0" r="271">
      <c r="A271" s="6" t="s">
        <v>673</v>
      </c>
      <c r="B271" s="6" t="s">
        <v>271</v>
      </c>
      <c r="C271" s="6"/>
      <c r="D271" s="6" t="s">
        <v>140</v>
      </c>
      <c r="E271" s="6" t="s">
        <v>72</v>
      </c>
      <c r="F271" s="6"/>
      <c r="G271" s="6" t="s">
        <v>14</v>
      </c>
      <c r="H271" s="7" t="n">
        <v>43085.3753626505</v>
      </c>
      <c r="I271" s="8" t="n">
        <v>43085.3753626505</v>
      </c>
      <c r="J271" s="7" t="n">
        <v>43083.5182784954</v>
      </c>
      <c r="K271" s="8" t="n">
        <v>43083.5182784954</v>
      </c>
      <c r="L271" s="6" t="s">
        <v>15</v>
      </c>
      <c r="M271" s="6"/>
      <c r="N271" s="6"/>
      <c r="O271" s="6"/>
      <c r="P271" s="6" t="s">
        <v>16</v>
      </c>
      <c r="Q271" s="0" t="n">
        <f>TODAY()-j271</f>
        <v>186.48172150459868</v>
      </c>
      <c r="R271" t="str">
        <f>VLOOKUP(A271,'Last Week'!A4:I397,7,FALSE)</f>
        <v>CLOSED</v>
      </c>
    </row>
    <row collapsed="false" customFormat="false" customHeight="true" hidden="false" ht="23.85" outlineLevel="0" r="272">
      <c r="A272" s="6" t="s">
        <v>674</v>
      </c>
      <c r="B272" s="6" t="s">
        <v>675</v>
      </c>
      <c r="C272" s="6"/>
      <c r="D272" s="6" t="s">
        <v>676</v>
      </c>
      <c r="E272" s="6" t="s">
        <v>175</v>
      </c>
      <c r="F272" s="6"/>
      <c r="G272" s="6" t="s">
        <v>14</v>
      </c>
      <c r="H272" s="7" t="n">
        <v>43098.3786922569</v>
      </c>
      <c r="I272" s="8" t="n">
        <v>43098.3786922569</v>
      </c>
      <c r="J272" s="7" t="n">
        <v>43083.7196425694</v>
      </c>
      <c r="K272" s="8" t="n">
        <v>43083.7196425694</v>
      </c>
      <c r="L272" s="6" t="s">
        <v>15</v>
      </c>
      <c r="M272" s="6"/>
      <c r="N272" s="6"/>
      <c r="O272" s="6"/>
      <c r="P272" s="6" t="s">
        <v>16</v>
      </c>
      <c r="Q272" s="0" t="n">
        <f>TODAY()-j272</f>
        <v>186.28035743060173</v>
      </c>
      <c r="R272" t="str">
        <f>VLOOKUP(A272,'Last Week'!A4:I397,7,FALSE)</f>
        <v>CLOSED</v>
      </c>
    </row>
    <row collapsed="false" customFormat="false" customHeight="true" hidden="false" ht="23.85" outlineLevel="0" r="273">
      <c r="A273" s="6" t="s">
        <v>677</v>
      </c>
      <c r="B273" s="6" t="s">
        <v>214</v>
      </c>
      <c r="C273" s="6"/>
      <c r="D273" s="6" t="s">
        <v>164</v>
      </c>
      <c r="E273" s="6" t="s">
        <v>215</v>
      </c>
      <c r="F273" s="6"/>
      <c r="G273" s="6" t="s">
        <v>14</v>
      </c>
      <c r="H273" s="7" t="n">
        <v>43091.1257388773</v>
      </c>
      <c r="I273" s="8" t="n">
        <v>43091.1257388773</v>
      </c>
      <c r="J273" s="7" t="n">
        <v>43088.5473314931</v>
      </c>
      <c r="K273" s="8" t="n">
        <v>43088.5473314931</v>
      </c>
      <c r="L273" s="6" t="s">
        <v>15</v>
      </c>
      <c r="M273" s="6"/>
      <c r="N273" s="6"/>
      <c r="O273" s="6"/>
      <c r="P273" s="6" t="s">
        <v>16</v>
      </c>
      <c r="Q273" s="0" t="n">
        <f>TODAY()-j273</f>
        <v>181.4526685068995</v>
      </c>
      <c r="R273" t="str">
        <f>VLOOKUP(A273,'Last Week'!A4:I397,7,FALSE)</f>
        <v>CLOSED</v>
      </c>
    </row>
    <row collapsed="false" customFormat="false" customHeight="true" hidden="false" ht="23.85" outlineLevel="0" r="274">
      <c r="A274" s="6" t="s">
        <v>678</v>
      </c>
      <c r="B274" s="6" t="s">
        <v>679</v>
      </c>
      <c r="C274" s="6"/>
      <c r="D274" s="6" t="s">
        <v>680</v>
      </c>
      <c r="E274" s="6" t="s">
        <v>126</v>
      </c>
      <c r="F274" s="6"/>
      <c r="G274" s="6" t="s">
        <v>14</v>
      </c>
      <c r="H274" s="7" t="n">
        <v>43098.3786975231</v>
      </c>
      <c r="I274" s="8" t="n">
        <v>43098.3786975231</v>
      </c>
      <c r="J274" s="7" t="n">
        <v>43089.5033876852</v>
      </c>
      <c r="K274" s="8" t="n">
        <v>43089.5033876852</v>
      </c>
      <c r="L274" s="6" t="s">
        <v>15</v>
      </c>
      <c r="M274" s="6"/>
      <c r="N274" s="6"/>
      <c r="O274" s="6"/>
      <c r="P274" s="6" t="s">
        <v>16</v>
      </c>
      <c r="Q274" s="0" t="n">
        <f>TODAY()-j274</f>
        <v>180.49661231479695</v>
      </c>
      <c r="R274" t="str">
        <f>VLOOKUP(A274,'Last Week'!A4:I397,7,FALSE)</f>
        <v>CLOSED</v>
      </c>
    </row>
    <row collapsed="false" customFormat="false" customHeight="true" hidden="false" ht="23.85" outlineLevel="0" r="275">
      <c r="A275" s="6" t="s">
        <v>681</v>
      </c>
      <c r="B275" s="6" t="s">
        <v>300</v>
      </c>
      <c r="C275" s="6"/>
      <c r="D275" s="6" t="s">
        <v>125</v>
      </c>
      <c r="E275" s="6" t="s">
        <v>126</v>
      </c>
      <c r="F275" s="6"/>
      <c r="G275" s="6" t="s">
        <v>14</v>
      </c>
      <c r="H275" s="7" t="n">
        <v>43098.3856718287</v>
      </c>
      <c r="I275" s="8" t="n">
        <v>43098.3856718287</v>
      </c>
      <c r="J275" s="7" t="n">
        <v>43089.5203120833</v>
      </c>
      <c r="K275" s="8" t="n">
        <v>43089.5203120833</v>
      </c>
      <c r="L275" s="6" t="s">
        <v>15</v>
      </c>
      <c r="M275" s="6"/>
      <c r="N275" s="6"/>
      <c r="O275" s="6"/>
      <c r="P275" s="6" t="s">
        <v>16</v>
      </c>
      <c r="Q275" s="0" t="n">
        <f>TODAY()-j275</f>
        <v>180.479687916697</v>
      </c>
      <c r="R275" t="str">
        <f>VLOOKUP(A275,'Last Week'!A4:I397,7,FALSE)</f>
        <v>CLOSED</v>
      </c>
    </row>
    <row collapsed="false" customFormat="false" customHeight="true" hidden="false" ht="46.25" outlineLevel="0" r="276">
      <c r="A276" s="6" t="s">
        <v>682</v>
      </c>
      <c r="B276" s="6" t="s">
        <v>683</v>
      </c>
      <c r="C276" s="6"/>
      <c r="D276" s="6" t="s">
        <v>375</v>
      </c>
      <c r="E276" s="6" t="s">
        <v>45</v>
      </c>
      <c r="F276" s="6"/>
      <c r="G276" s="6" t="s">
        <v>14</v>
      </c>
      <c r="H276" s="7" t="n">
        <v>43105.7105337384</v>
      </c>
      <c r="I276" s="8" t="n">
        <v>43105.7105337384</v>
      </c>
      <c r="J276" s="7" t="n">
        <v>43089.5922535995</v>
      </c>
      <c r="K276" s="8" t="n">
        <v>43089.5922535995</v>
      </c>
      <c r="L276" s="6" t="s">
        <v>15</v>
      </c>
      <c r="M276" s="6"/>
      <c r="N276" s="6"/>
      <c r="O276" s="6"/>
      <c r="P276" s="6" t="s">
        <v>16</v>
      </c>
      <c r="Q276" s="0" t="n">
        <f>TODAY()-j276</f>
        <v>180.40774640050222</v>
      </c>
      <c r="R276" t="str">
        <f>VLOOKUP(A276,'Last Week'!A4:I397,7,FALSE)</f>
        <v>CLOSED</v>
      </c>
    </row>
    <row collapsed="false" customFormat="false" customHeight="true" hidden="false" ht="23.85" outlineLevel="0" r="277">
      <c r="A277" s="6" t="s">
        <v>684</v>
      </c>
      <c r="B277" s="6" t="s">
        <v>685</v>
      </c>
      <c r="C277" s="6"/>
      <c r="D277" s="6" t="s">
        <v>392</v>
      </c>
      <c r="E277" s="6" t="s">
        <v>615</v>
      </c>
      <c r="F277" s="6"/>
      <c r="G277" s="6" t="s">
        <v>14</v>
      </c>
      <c r="H277" s="7" t="n">
        <v>43100.642903125</v>
      </c>
      <c r="I277" s="8" t="n">
        <v>43100.642903125</v>
      </c>
      <c r="J277" s="7" t="n">
        <v>43095.9701985764</v>
      </c>
      <c r="K277" s="8" t="n">
        <v>43095.9701985764</v>
      </c>
      <c r="L277" s="6" t="s">
        <v>15</v>
      </c>
      <c r="M277" s="6"/>
      <c r="N277" s="6"/>
      <c r="O277" s="6"/>
      <c r="P277" s="6" t="s">
        <v>16</v>
      </c>
      <c r="Q277" s="0" t="n">
        <f>TODAY()-j277</f>
        <v>174.0298014236032</v>
      </c>
      <c r="R277" t="str">
        <f>VLOOKUP(A277,'Last Week'!A4:I397,7,FALSE)</f>
        <v>CLOSED</v>
      </c>
    </row>
    <row collapsed="false" customFormat="false" customHeight="true" hidden="false" ht="23.85" outlineLevel="0" r="278">
      <c r="A278" s="6" t="s">
        <v>686</v>
      </c>
      <c r="B278" s="6" t="s">
        <v>687</v>
      </c>
      <c r="C278" s="6"/>
      <c r="D278" s="6" t="s">
        <v>688</v>
      </c>
      <c r="E278" s="6" t="s">
        <v>28</v>
      </c>
      <c r="F278" s="6"/>
      <c r="G278" s="6" t="s">
        <v>14</v>
      </c>
      <c r="H278" s="7" t="n">
        <v>43099.6358151852</v>
      </c>
      <c r="I278" s="8" t="n">
        <v>43099.6358151852</v>
      </c>
      <c r="J278" s="7" t="n">
        <v>43095.97416875</v>
      </c>
      <c r="K278" s="8" t="n">
        <v>43095.97416875</v>
      </c>
      <c r="L278" s="6" t="s">
        <v>15</v>
      </c>
      <c r="M278" s="6"/>
      <c r="N278" s="6"/>
      <c r="O278" s="6"/>
      <c r="P278" s="6" t="s">
        <v>16</v>
      </c>
      <c r="Q278" s="0" t="n">
        <f>TODAY()-j278</f>
        <v>174.02583125000092</v>
      </c>
      <c r="R278" t="str">
        <f>VLOOKUP(A278,'Last Week'!A4:I397,7,FALSE)</f>
        <v>CLOSED</v>
      </c>
    </row>
    <row collapsed="false" customFormat="false" customHeight="true" hidden="false" ht="23.85" outlineLevel="0" r="279">
      <c r="A279" s="6" t="s">
        <v>689</v>
      </c>
      <c r="B279" s="6" t="s">
        <v>206</v>
      </c>
      <c r="C279" s="6"/>
      <c r="D279" s="6" t="s">
        <v>690</v>
      </c>
      <c r="E279" s="6" t="s">
        <v>208</v>
      </c>
      <c r="F279" s="6"/>
      <c r="G279" s="6" t="s">
        <v>14</v>
      </c>
      <c r="H279" s="7" t="n">
        <v>43099.1258071644</v>
      </c>
      <c r="I279" s="8" t="n">
        <v>43099.1258071644</v>
      </c>
      <c r="J279" s="7" t="n">
        <v>43096.5095893171</v>
      </c>
      <c r="K279" s="8" t="n">
        <v>43096.5095893171</v>
      </c>
      <c r="L279" s="6" t="s">
        <v>15</v>
      </c>
      <c r="M279" s="6"/>
      <c r="N279" s="6"/>
      <c r="O279" s="6"/>
      <c r="P279" s="6" t="s">
        <v>16</v>
      </c>
      <c r="Q279" s="0" t="n">
        <f>TODAY()-j279</f>
        <v>173.49041068289807</v>
      </c>
      <c r="R279" t="str">
        <f>VLOOKUP(A279,'Last Week'!A4:I397,7,FALSE)</f>
        <v>CLOSED</v>
      </c>
    </row>
    <row collapsed="false" customFormat="false" customHeight="true" hidden="false" ht="35.05" outlineLevel="0" r="280">
      <c r="A280" s="6" t="s">
        <v>691</v>
      </c>
      <c r="B280" s="6" t="s">
        <v>692</v>
      </c>
      <c r="C280" s="6"/>
      <c r="D280" s="6" t="s">
        <v>693</v>
      </c>
      <c r="E280" s="6" t="s">
        <v>693</v>
      </c>
      <c r="F280" s="6"/>
      <c r="G280" s="6" t="s">
        <v>14</v>
      </c>
      <c r="H280" s="7" t="n">
        <v>43121.6250440972</v>
      </c>
      <c r="I280" s="8" t="n">
        <v>43121.6250440972</v>
      </c>
      <c r="J280" s="7" t="n">
        <v>43096.517633206</v>
      </c>
      <c r="K280" s="8" t="n">
        <v>43096.517633206</v>
      </c>
      <c r="L280" s="6" t="s">
        <v>15</v>
      </c>
      <c r="M280" s="6"/>
      <c r="N280" s="6"/>
      <c r="O280" s="6"/>
      <c r="P280" s="6" t="s">
        <v>16</v>
      </c>
      <c r="Q280" s="0" t="n">
        <f>TODAY()-j280</f>
        <v>173.48236679399997</v>
      </c>
      <c r="R280" t="str">
        <f>VLOOKUP(A280,'Last Week'!A4:I397,7,FALSE)</f>
        <v>CLOSED</v>
      </c>
    </row>
    <row collapsed="false" customFormat="false" customHeight="true" hidden="false" ht="23.85" outlineLevel="0" r="281">
      <c r="A281" s="6" t="s">
        <v>694</v>
      </c>
      <c r="B281" s="6" t="s">
        <v>695</v>
      </c>
      <c r="C281" s="6"/>
      <c r="D281" s="6" t="s">
        <v>696</v>
      </c>
      <c r="E281" s="6" t="s">
        <v>615</v>
      </c>
      <c r="F281" s="6"/>
      <c r="G281" s="6" t="s">
        <v>14</v>
      </c>
      <c r="H281" s="7" t="n">
        <v>43101.476357662</v>
      </c>
      <c r="I281" s="8" t="n">
        <v>43101.476357662</v>
      </c>
      <c r="J281" s="7" t="n">
        <v>43096.7241504745</v>
      </c>
      <c r="K281" s="8" t="n">
        <v>43096.7241504745</v>
      </c>
      <c r="L281" s="6" t="s">
        <v>15</v>
      </c>
      <c r="M281" s="6"/>
      <c r="N281" s="6"/>
      <c r="O281" s="6"/>
      <c r="P281" s="6" t="s">
        <v>16</v>
      </c>
      <c r="Q281" s="0" t="n">
        <f>TODAY()-j281</f>
        <v>173.2758495254966</v>
      </c>
      <c r="R281" t="str">
        <f>VLOOKUP(A281,'Last Week'!A4:I397,7,FALSE)</f>
        <v>CLOSED</v>
      </c>
    </row>
    <row collapsed="false" customFormat="false" customHeight="true" hidden="false" ht="23.85" outlineLevel="0" r="282">
      <c r="A282" s="6" t="s">
        <v>697</v>
      </c>
      <c r="B282" s="6" t="s">
        <v>698</v>
      </c>
      <c r="C282" s="6"/>
      <c r="D282" s="6" t="s">
        <v>479</v>
      </c>
      <c r="E282" s="6" t="s">
        <v>20</v>
      </c>
      <c r="F282" s="6"/>
      <c r="G282" s="6" t="s">
        <v>14</v>
      </c>
      <c r="H282" s="7" t="n">
        <v>43104.1256940857</v>
      </c>
      <c r="I282" s="8" t="n">
        <v>43104.1256940857</v>
      </c>
      <c r="J282" s="7" t="n">
        <v>43097.5416846296</v>
      </c>
      <c r="K282" s="8" t="n">
        <v>43097.5416846296</v>
      </c>
      <c r="L282" s="6" t="s">
        <v>15</v>
      </c>
      <c r="M282" s="6"/>
      <c r="N282" s="6"/>
      <c r="O282" s="6"/>
      <c r="P282" s="6" t="s">
        <v>58</v>
      </c>
      <c r="Q282" s="0" t="n">
        <f>TODAY()-j282</f>
        <v>172.45831537040067</v>
      </c>
      <c r="R282" t="str">
        <f>VLOOKUP(A282,'Last Week'!A4:I397,7,FALSE)</f>
        <v>CLOSED</v>
      </c>
    </row>
    <row collapsed="false" customFormat="false" customHeight="true" hidden="false" ht="23.85" outlineLevel="0" r="283">
      <c r="A283" s="6" t="s">
        <v>699</v>
      </c>
      <c r="B283" s="6" t="s">
        <v>700</v>
      </c>
      <c r="C283" s="6"/>
      <c r="D283" s="6" t="s">
        <v>154</v>
      </c>
      <c r="E283" s="6" t="s">
        <v>72</v>
      </c>
      <c r="F283" s="6"/>
      <c r="G283" s="6" t="s">
        <v>14</v>
      </c>
      <c r="H283" s="7" t="n">
        <v>43124.2083886111</v>
      </c>
      <c r="I283" s="8" t="n">
        <v>43124.2083886111</v>
      </c>
      <c r="J283" s="7" t="n">
        <v>43102.4996884144</v>
      </c>
      <c r="K283" s="8" t="n">
        <v>43102.4996884144</v>
      </c>
      <c r="L283" s="6" t="s">
        <v>15</v>
      </c>
      <c r="M283" s="6"/>
      <c r="N283" s="6"/>
      <c r="O283" s="6"/>
      <c r="P283" s="6" t="s">
        <v>16</v>
      </c>
      <c r="Q283" s="0" t="n">
        <f>TODAY()-j283</f>
        <v>167.5003115856016</v>
      </c>
      <c r="R283" t="str">
        <f>VLOOKUP(A283,'Last Week'!A4:I397,7,FALSE)</f>
        <v>CLOSED</v>
      </c>
    </row>
    <row collapsed="false" customFormat="false" customHeight="true" hidden="false" ht="23.85" outlineLevel="0" r="284">
      <c r="A284" s="6" t="s">
        <v>701</v>
      </c>
      <c r="B284" s="6" t="s">
        <v>206</v>
      </c>
      <c r="C284" s="6"/>
      <c r="D284" s="6" t="s">
        <v>702</v>
      </c>
      <c r="E284" s="6" t="s">
        <v>208</v>
      </c>
      <c r="F284" s="6"/>
      <c r="G284" s="6" t="s">
        <v>14</v>
      </c>
      <c r="H284" s="7" t="n">
        <v>43105.7105848843</v>
      </c>
      <c r="I284" s="8" t="n">
        <v>43105.7105848843</v>
      </c>
      <c r="J284" s="7" t="n">
        <v>43102.5252902315</v>
      </c>
      <c r="K284" s="8" t="n">
        <v>43102.5252902315</v>
      </c>
      <c r="L284" s="6" t="s">
        <v>15</v>
      </c>
      <c r="M284" s="6"/>
      <c r="N284" s="6"/>
      <c r="O284" s="6"/>
      <c r="P284" s="6" t="s">
        <v>16</v>
      </c>
      <c r="Q284" s="0" t="n">
        <f>TODAY()-j284</f>
        <v>167.4747097685031</v>
      </c>
      <c r="R284" t="str">
        <f>VLOOKUP(A284,'Last Week'!A4:I397,7,FALSE)</f>
        <v>CLOSED</v>
      </c>
    </row>
    <row collapsed="false" customFormat="false" customHeight="true" hidden="false" ht="23.85" outlineLevel="0" r="285">
      <c r="A285" s="6" t="s">
        <v>703</v>
      </c>
      <c r="B285" s="6" t="s">
        <v>312</v>
      </c>
      <c r="C285" s="6"/>
      <c r="D285" s="6" t="s">
        <v>54</v>
      </c>
      <c r="E285" s="6" t="s">
        <v>72</v>
      </c>
      <c r="F285" s="6"/>
      <c r="G285" s="6" t="s">
        <v>14</v>
      </c>
      <c r="H285" s="7" t="n">
        <v>43104.6670991088</v>
      </c>
      <c r="I285" s="8" t="n">
        <v>43104.6670991088</v>
      </c>
      <c r="J285" s="7" t="n">
        <v>43102.5268348495</v>
      </c>
      <c r="K285" s="8" t="n">
        <v>43102.5268348495</v>
      </c>
      <c r="L285" s="6" t="s">
        <v>15</v>
      </c>
      <c r="M285" s="6"/>
      <c r="N285" s="6"/>
      <c r="O285" s="6"/>
      <c r="P285" s="6" t="s">
        <v>58</v>
      </c>
      <c r="Q285" s="0" t="n">
        <f>TODAY()-j285</f>
        <v>167.47316515049897</v>
      </c>
      <c r="R285" t="str">
        <f>VLOOKUP(A285,'Last Week'!A4:I397,7,FALSE)</f>
        <v>CLOSED</v>
      </c>
    </row>
    <row collapsed="false" customFormat="false" customHeight="true" hidden="false" ht="23.85" outlineLevel="0" r="286">
      <c r="A286" s="6" t="s">
        <v>704</v>
      </c>
      <c r="B286" s="6" t="s">
        <v>705</v>
      </c>
      <c r="C286" s="6"/>
      <c r="D286" s="6" t="s">
        <v>54</v>
      </c>
      <c r="E286" s="6" t="s">
        <v>72</v>
      </c>
      <c r="F286" s="6"/>
      <c r="G286" s="6" t="s">
        <v>14</v>
      </c>
      <c r="H286" s="7" t="n">
        <v>43105.1257374653</v>
      </c>
      <c r="I286" s="8" t="n">
        <v>43105.1257374653</v>
      </c>
      <c r="J286" s="7" t="n">
        <v>43102.6033349421</v>
      </c>
      <c r="K286" s="8" t="n">
        <v>43102.6033349421</v>
      </c>
      <c r="L286" s="6" t="s">
        <v>15</v>
      </c>
      <c r="M286" s="6"/>
      <c r="N286" s="6"/>
      <c r="O286" s="6"/>
      <c r="P286" s="6" t="s">
        <v>16</v>
      </c>
      <c r="Q286" s="0" t="n">
        <f>TODAY()-j286</f>
        <v>167.39666505790228</v>
      </c>
      <c r="R286" t="str">
        <f>VLOOKUP(A286,'Last Week'!A4:I397,7,FALSE)</f>
        <v>CLOSED</v>
      </c>
    </row>
    <row collapsed="false" customFormat="false" customHeight="true" hidden="false" ht="23.85" outlineLevel="0" r="287">
      <c r="A287" s="6" t="s">
        <v>706</v>
      </c>
      <c r="B287" s="6" t="s">
        <v>707</v>
      </c>
      <c r="C287" s="6"/>
      <c r="D287" s="6" t="s">
        <v>708</v>
      </c>
      <c r="E287" s="6" t="s">
        <v>115</v>
      </c>
      <c r="F287" s="6"/>
      <c r="G287" s="6" t="s">
        <v>14</v>
      </c>
      <c r="H287" s="7" t="n">
        <v>43104.7087765857</v>
      </c>
      <c r="I287" s="8" t="n">
        <v>43104.7087765857</v>
      </c>
      <c r="J287" s="7" t="n">
        <v>43102.7370180903</v>
      </c>
      <c r="K287" s="8" t="n">
        <v>43102.7370180903</v>
      </c>
      <c r="L287" s="6" t="s">
        <v>15</v>
      </c>
      <c r="M287" s="6"/>
      <c r="N287" s="6"/>
      <c r="O287" s="6"/>
      <c r="P287" s="6" t="s">
        <v>58</v>
      </c>
      <c r="Q287" s="0" t="n">
        <f>TODAY()-j287</f>
        <v>167.26298190969828</v>
      </c>
      <c r="R287" t="str">
        <f>VLOOKUP(A287,'Last Week'!A4:I397,7,FALSE)</f>
        <v>CLOSED</v>
      </c>
    </row>
    <row collapsed="false" customFormat="false" customHeight="true" hidden="false" ht="23.85" outlineLevel="0" r="288">
      <c r="A288" s="6" t="s">
        <v>709</v>
      </c>
      <c r="B288" s="6" t="s">
        <v>710</v>
      </c>
      <c r="C288" s="6"/>
      <c r="D288" s="6" t="s">
        <v>154</v>
      </c>
      <c r="E288" s="6" t="s">
        <v>55</v>
      </c>
      <c r="F288" s="6"/>
      <c r="G288" s="6" t="s">
        <v>14</v>
      </c>
      <c r="H288" s="7" t="n">
        <v>43124.2083911806</v>
      </c>
      <c r="I288" s="8" t="n">
        <v>43124.2083911806</v>
      </c>
      <c r="J288" s="7" t="n">
        <v>43102.7447668287</v>
      </c>
      <c r="K288" s="8" t="n">
        <v>43102.7447668287</v>
      </c>
      <c r="L288" s="6" t="s">
        <v>15</v>
      </c>
      <c r="M288" s="6"/>
      <c r="N288" s="6"/>
      <c r="O288" s="6"/>
      <c r="P288" s="6" t="s">
        <v>16</v>
      </c>
      <c r="Q288" s="0" t="n">
        <f>TODAY()-j288</f>
        <v>167.25523317130137</v>
      </c>
      <c r="R288" t="str">
        <f>VLOOKUP(A288,'Last Week'!A4:I397,7,FALSE)</f>
        <v>CLOSED</v>
      </c>
    </row>
    <row collapsed="false" customFormat="false" customHeight="true" hidden="false" ht="23.85" outlineLevel="0" r="289">
      <c r="A289" s="6" t="s">
        <v>711</v>
      </c>
      <c r="B289" s="6" t="s">
        <v>712</v>
      </c>
      <c r="C289" s="6"/>
      <c r="D289" s="6" t="s">
        <v>713</v>
      </c>
      <c r="E289" s="6" t="s">
        <v>215</v>
      </c>
      <c r="F289" s="6"/>
      <c r="G289" s="6" t="s">
        <v>14</v>
      </c>
      <c r="H289" s="7" t="n">
        <v>43105.7108248611</v>
      </c>
      <c r="I289" s="8" t="n">
        <v>43105.7108248611</v>
      </c>
      <c r="J289" s="7" t="n">
        <v>43103.6554996181</v>
      </c>
      <c r="K289" s="8" t="n">
        <v>43103.6554996181</v>
      </c>
      <c r="L289" s="6" t="s">
        <v>15</v>
      </c>
      <c r="M289" s="6"/>
      <c r="N289" s="6"/>
      <c r="O289" s="6"/>
      <c r="P289" s="6" t="s">
        <v>16</v>
      </c>
      <c r="Q289" s="0" t="n">
        <f>TODAY()-j289</f>
        <v>166.3445003818997</v>
      </c>
      <c r="R289" t="str">
        <f>VLOOKUP(A289,'Last Week'!A4:I397,7,FALSE)</f>
        <v>CLOSED</v>
      </c>
    </row>
    <row collapsed="false" customFormat="false" customHeight="true" hidden="false" ht="23.85" outlineLevel="0" r="290">
      <c r="A290" s="6" t="s">
        <v>714</v>
      </c>
      <c r="B290" s="6" t="s">
        <v>715</v>
      </c>
      <c r="C290" s="6"/>
      <c r="D290" s="6" t="s">
        <v>716</v>
      </c>
      <c r="E290" s="6" t="s">
        <v>81</v>
      </c>
      <c r="F290" s="6"/>
      <c r="G290" s="6" t="s">
        <v>14</v>
      </c>
      <c r="H290" s="7" t="n">
        <v>43110.1258966782</v>
      </c>
      <c r="I290" s="8" t="n">
        <v>43110.1258966782</v>
      </c>
      <c r="J290" s="7" t="n">
        <v>43105.5356910532</v>
      </c>
      <c r="K290" s="8" t="n">
        <v>43105.5356910532</v>
      </c>
      <c r="L290" s="6" t="s">
        <v>15</v>
      </c>
      <c r="M290" s="6"/>
      <c r="N290" s="6"/>
      <c r="O290" s="6"/>
      <c r="P290" s="6" t="s">
        <v>58</v>
      </c>
      <c r="Q290" s="0" t="n">
        <f>TODAY()-j290</f>
        <v>164.46430894680088</v>
      </c>
      <c r="R290" t="str">
        <f>VLOOKUP(A290,'Last Week'!A4:I397,7,FALSE)</f>
        <v>CLOSED</v>
      </c>
    </row>
    <row collapsed="false" customFormat="false" customHeight="true" hidden="false" ht="23.85" outlineLevel="0" r="291">
      <c r="A291" s="6" t="s">
        <v>717</v>
      </c>
      <c r="B291" s="6" t="s">
        <v>206</v>
      </c>
      <c r="C291" s="6"/>
      <c r="D291" s="6" t="s">
        <v>718</v>
      </c>
      <c r="E291" s="6" t="s">
        <v>208</v>
      </c>
      <c r="F291" s="6"/>
      <c r="G291" s="6" t="s">
        <v>14</v>
      </c>
      <c r="H291" s="7" t="n">
        <v>43112.167450081</v>
      </c>
      <c r="I291" s="8" t="n">
        <v>43112.167450081</v>
      </c>
      <c r="J291" s="7" t="n">
        <v>43108.365258125</v>
      </c>
      <c r="K291" s="8" t="n">
        <v>43108.365258125</v>
      </c>
      <c r="L291" s="6" t="s">
        <v>15</v>
      </c>
      <c r="M291" s="6"/>
      <c r="N291" s="6"/>
      <c r="O291" s="6"/>
      <c r="P291" s="6" t="s">
        <v>16</v>
      </c>
      <c r="Q291" s="0" t="n">
        <f>TODAY()-j291</f>
        <v>161.63474187500105</v>
      </c>
      <c r="R291" t="str">
        <f>VLOOKUP(A291,'Last Week'!A4:I397,7,FALSE)</f>
        <v>CLOSED</v>
      </c>
    </row>
    <row collapsed="false" customFormat="false" customHeight="true" hidden="false" ht="23.85" outlineLevel="0" r="292">
      <c r="A292" s="6" t="s">
        <v>719</v>
      </c>
      <c r="B292" s="6" t="s">
        <v>720</v>
      </c>
      <c r="C292" s="6"/>
      <c r="D292" s="6" t="s">
        <v>470</v>
      </c>
      <c r="E292" s="6" t="s">
        <v>470</v>
      </c>
      <c r="F292" s="6"/>
      <c r="G292" s="6" t="s">
        <v>14</v>
      </c>
      <c r="H292" s="7" t="n">
        <v>43114.3917928935</v>
      </c>
      <c r="I292" s="8" t="n">
        <v>43114.3917928935</v>
      </c>
      <c r="J292" s="7" t="n">
        <v>43109.5940910417</v>
      </c>
      <c r="K292" s="8" t="n">
        <v>43109.5940910417</v>
      </c>
      <c r="L292" s="6" t="s">
        <v>15</v>
      </c>
      <c r="M292" s="6"/>
      <c r="N292" s="6"/>
      <c r="O292" s="6"/>
      <c r="P292" s="6" t="s">
        <v>16</v>
      </c>
      <c r="Q292" s="0" t="n">
        <f>TODAY()-j292</f>
        <v>160.40590895830246</v>
      </c>
      <c r="R292" t="str">
        <f>VLOOKUP(A292,'Last Week'!A4:I397,7,FALSE)</f>
        <v>CLOSED</v>
      </c>
    </row>
    <row collapsed="false" customFormat="false" customHeight="true" hidden="false" ht="23.85" outlineLevel="0" r="293">
      <c r="A293" s="6" t="s">
        <v>721</v>
      </c>
      <c r="B293" s="6" t="s">
        <v>561</v>
      </c>
      <c r="C293" s="6"/>
      <c r="D293" s="6" t="s">
        <v>722</v>
      </c>
      <c r="E293" s="6" t="s">
        <v>281</v>
      </c>
      <c r="F293" s="6"/>
      <c r="G293" s="6" t="s">
        <v>14</v>
      </c>
      <c r="H293" s="7" t="n">
        <v>43111.4174210764</v>
      </c>
      <c r="I293" s="8" t="n">
        <v>43111.4174210764</v>
      </c>
      <c r="J293" s="7" t="n">
        <v>43109.6073847685</v>
      </c>
      <c r="K293" s="8" t="n">
        <v>43109.6073847685</v>
      </c>
      <c r="L293" s="6" t="s">
        <v>15</v>
      </c>
      <c r="M293" s="6"/>
      <c r="N293" s="6"/>
      <c r="O293" s="6"/>
      <c r="P293" s="6" t="s">
        <v>16</v>
      </c>
      <c r="Q293" s="0" t="n">
        <f>TODAY()-j293</f>
        <v>160.39261523150344</v>
      </c>
      <c r="R293" t="str">
        <f>VLOOKUP(A293,'Last Week'!A4:I397,7,FALSE)</f>
        <v>CLOSED</v>
      </c>
    </row>
    <row collapsed="false" customFormat="false" customHeight="true" hidden="false" ht="23.85" outlineLevel="0" r="294">
      <c r="A294" s="6" t="s">
        <v>723</v>
      </c>
      <c r="B294" s="6" t="s">
        <v>724</v>
      </c>
      <c r="C294" s="6"/>
      <c r="D294" s="6" t="s">
        <v>725</v>
      </c>
      <c r="E294" s="6" t="s">
        <v>115</v>
      </c>
      <c r="F294" s="6"/>
      <c r="G294" s="6" t="s">
        <v>14</v>
      </c>
      <c r="H294" s="7" t="n">
        <v>43113.1259340857</v>
      </c>
      <c r="I294" s="8" t="n">
        <v>43113.1259340857</v>
      </c>
      <c r="J294" s="7" t="n">
        <v>43110.4037573032</v>
      </c>
      <c r="K294" s="8" t="n">
        <v>43110.4037573032</v>
      </c>
      <c r="L294" s="6" t="s">
        <v>15</v>
      </c>
      <c r="M294" s="6"/>
      <c r="N294" s="6"/>
      <c r="O294" s="6"/>
      <c r="P294" s="6" t="s">
        <v>16</v>
      </c>
      <c r="Q294" s="0" t="n">
        <f>TODAY()-j294</f>
        <v>159.59624269680353</v>
      </c>
      <c r="R294" t="str">
        <f>VLOOKUP(A294,'Last Week'!A4:I397,7,FALSE)</f>
        <v>CLOSED</v>
      </c>
    </row>
    <row collapsed="false" customFormat="false" customHeight="true" hidden="false" ht="35.05" outlineLevel="0" r="295">
      <c r="A295" s="6" t="s">
        <v>726</v>
      </c>
      <c r="B295" s="6" t="s">
        <v>727</v>
      </c>
      <c r="C295" s="6"/>
      <c r="D295" s="6" t="s">
        <v>728</v>
      </c>
      <c r="E295" s="6" t="s">
        <v>13</v>
      </c>
      <c r="F295" s="6"/>
      <c r="G295" s="6" t="s">
        <v>14</v>
      </c>
      <c r="H295" s="7" t="n">
        <v>43112.1260002315</v>
      </c>
      <c r="I295" s="8" t="n">
        <v>43112.1260002315</v>
      </c>
      <c r="J295" s="7" t="n">
        <v>43110.4357826852</v>
      </c>
      <c r="K295" s="8" t="n">
        <v>43110.4357826852</v>
      </c>
      <c r="L295" s="6" t="s">
        <v>15</v>
      </c>
      <c r="M295" s="6"/>
      <c r="N295" s="6"/>
      <c r="O295" s="6"/>
      <c r="P295" s="6" t="s">
        <v>16</v>
      </c>
      <c r="Q295" s="0" t="n">
        <f>TODAY()-j295</f>
        <v>159.56421731480077</v>
      </c>
      <c r="R295" t="str">
        <f>VLOOKUP(A295,'Last Week'!A4:I397,7,FALSE)</f>
        <v>CLOSED</v>
      </c>
    </row>
    <row collapsed="false" customFormat="false" customHeight="true" hidden="false" ht="35.05" outlineLevel="0" r="296">
      <c r="A296" s="6" t="s">
        <v>729</v>
      </c>
      <c r="B296" s="6" t="s">
        <v>730</v>
      </c>
      <c r="C296" s="6"/>
      <c r="D296" s="6" t="s">
        <v>61</v>
      </c>
      <c r="E296" s="6" t="s">
        <v>72</v>
      </c>
      <c r="F296" s="6"/>
      <c r="G296" s="6" t="s">
        <v>14</v>
      </c>
      <c r="H296" s="7" t="n">
        <v>43114.516807662</v>
      </c>
      <c r="I296" s="8" t="n">
        <v>43114.516807662</v>
      </c>
      <c r="J296" s="7" t="n">
        <v>43110.6014603472</v>
      </c>
      <c r="K296" s="8" t="n">
        <v>43110.6014603472</v>
      </c>
      <c r="L296" s="6" t="s">
        <v>15</v>
      </c>
      <c r="M296" s="6"/>
      <c r="N296" s="6"/>
      <c r="O296" s="6"/>
      <c r="P296" s="6" t="s">
        <v>16</v>
      </c>
      <c r="Q296" s="0" t="n">
        <f>TODAY()-j296</f>
        <v>159.39853965280054</v>
      </c>
      <c r="R296" t="str">
        <f>VLOOKUP(A296,'Last Week'!A4:I397,7,FALSE)</f>
        <v>CLOSED</v>
      </c>
    </row>
    <row collapsed="false" customFormat="false" customHeight="true" hidden="false" ht="23.85" outlineLevel="0" r="297">
      <c r="A297" s="6" t="s">
        <v>731</v>
      </c>
      <c r="B297" s="6" t="s">
        <v>732</v>
      </c>
      <c r="C297" s="6"/>
      <c r="D297" s="6" t="s">
        <v>445</v>
      </c>
      <c r="E297" s="6" t="s">
        <v>72</v>
      </c>
      <c r="F297" s="6"/>
      <c r="G297" s="6" t="s">
        <v>14</v>
      </c>
      <c r="H297" s="7" t="n">
        <v>43113.1260295023</v>
      </c>
      <c r="I297" s="8" t="n">
        <v>43113.1260295023</v>
      </c>
      <c r="J297" s="7" t="n">
        <v>43111.4004601736</v>
      </c>
      <c r="K297" s="8" t="n">
        <v>43111.4004601736</v>
      </c>
      <c r="L297" s="6" t="s">
        <v>15</v>
      </c>
      <c r="M297" s="6"/>
      <c r="N297" s="6"/>
      <c r="O297" s="6"/>
      <c r="P297" s="6" t="s">
        <v>16</v>
      </c>
      <c r="Q297" s="0" t="n">
        <f>TODAY()-j297</f>
        <v>158.59953982639854</v>
      </c>
      <c r="R297" t="str">
        <f>VLOOKUP(A297,'Last Week'!A4:I397,7,FALSE)</f>
        <v>CLOSED</v>
      </c>
    </row>
    <row collapsed="false" customFormat="false" customHeight="true" hidden="false" ht="23.85" outlineLevel="0" r="298">
      <c r="A298" s="6" t="s">
        <v>733</v>
      </c>
      <c r="B298" s="6" t="s">
        <v>734</v>
      </c>
      <c r="C298" s="6"/>
      <c r="D298" s="6" t="s">
        <v>586</v>
      </c>
      <c r="E298" s="6" t="s">
        <v>28</v>
      </c>
      <c r="F298" s="6"/>
      <c r="G298" s="6" t="s">
        <v>14</v>
      </c>
      <c r="H298" s="7" t="n">
        <v>43119.6479190972</v>
      </c>
      <c r="I298" s="8" t="n">
        <v>43119.6479190972</v>
      </c>
      <c r="J298" s="7" t="n">
        <v>43112.9237752315</v>
      </c>
      <c r="K298" s="8" t="n">
        <v>43112.9237752315</v>
      </c>
      <c r="L298" s="6" t="s">
        <v>15</v>
      </c>
      <c r="M298" s="6"/>
      <c r="N298" s="6"/>
      <c r="O298" s="6"/>
      <c r="P298" s="6" t="s">
        <v>16</v>
      </c>
      <c r="Q298" s="0" t="n">
        <f>TODAY()-j298</f>
        <v>157.07622476849792</v>
      </c>
      <c r="R298" t="str">
        <f>VLOOKUP(A298,'Last Week'!A4:I397,7,FALSE)</f>
        <v>CLOSED</v>
      </c>
    </row>
    <row collapsed="false" customFormat="false" customHeight="true" hidden="false" ht="23.85" outlineLevel="0" r="299">
      <c r="A299" s="6" t="s">
        <v>735</v>
      </c>
      <c r="B299" s="6" t="s">
        <v>736</v>
      </c>
      <c r="C299" s="6"/>
      <c r="D299" s="6" t="s">
        <v>154</v>
      </c>
      <c r="E299" s="6" t="s">
        <v>50</v>
      </c>
      <c r="F299" s="6"/>
      <c r="G299" s="6" t="s">
        <v>14</v>
      </c>
      <c r="H299" s="7" t="n">
        <v>43154.2501271065</v>
      </c>
      <c r="I299" s="8" t="n">
        <v>43154.2501271065</v>
      </c>
      <c r="J299" s="7" t="n">
        <v>43113.1293707523</v>
      </c>
      <c r="K299" s="8" t="n">
        <v>43113.1293707523</v>
      </c>
      <c r="L299" s="6" t="s">
        <v>15</v>
      </c>
      <c r="M299" s="6"/>
      <c r="N299" s="6"/>
      <c r="O299" s="6"/>
      <c r="P299" s="6" t="s">
        <v>16</v>
      </c>
      <c r="Q299" s="0" t="n">
        <f>TODAY()-j299</f>
        <v>156.87062924769998</v>
      </c>
      <c r="R299" t="str">
        <f>VLOOKUP(A299,'Last Week'!A4:I397,7,FALSE)</f>
        <v>CLOSED</v>
      </c>
    </row>
    <row collapsed="false" customFormat="false" customHeight="true" hidden="false" ht="23.85" outlineLevel="0" r="300">
      <c r="A300" s="6" t="s">
        <v>737</v>
      </c>
      <c r="B300" s="6" t="s">
        <v>738</v>
      </c>
      <c r="C300" s="6"/>
      <c r="D300" s="6" t="s">
        <v>739</v>
      </c>
      <c r="E300" s="6" t="s">
        <v>126</v>
      </c>
      <c r="F300" s="6"/>
      <c r="G300" s="6" t="s">
        <v>14</v>
      </c>
      <c r="H300" s="7" t="n">
        <v>43117.6673624537</v>
      </c>
      <c r="I300" s="8" t="n">
        <v>43117.6673624537</v>
      </c>
      <c r="J300" s="7" t="n">
        <v>43115.4801462037</v>
      </c>
      <c r="K300" s="8" t="n">
        <v>43115.4801462037</v>
      </c>
      <c r="L300" s="6" t="s">
        <v>15</v>
      </c>
      <c r="M300" s="6"/>
      <c r="N300" s="6"/>
      <c r="O300" s="6"/>
      <c r="P300" s="6" t="s">
        <v>58</v>
      </c>
      <c r="Q300" s="0" t="n">
        <f>TODAY()-j300</f>
        <v>154.5198537963006</v>
      </c>
      <c r="R300" t="str">
        <f>VLOOKUP(A300,'Last Week'!A4:I397,7,FALSE)</f>
        <v>CLOSED</v>
      </c>
    </row>
    <row collapsed="false" customFormat="false" customHeight="true" hidden="false" ht="23.85" outlineLevel="0" r="301">
      <c r="A301" s="6" t="s">
        <v>740</v>
      </c>
      <c r="B301" s="6" t="s">
        <v>741</v>
      </c>
      <c r="C301" s="6"/>
      <c r="D301" s="6" t="s">
        <v>487</v>
      </c>
      <c r="E301" s="6" t="s">
        <v>208</v>
      </c>
      <c r="F301" s="6"/>
      <c r="G301" s="6" t="s">
        <v>14</v>
      </c>
      <c r="H301" s="7" t="n">
        <v>43124.1259859607</v>
      </c>
      <c r="I301" s="8" t="n">
        <v>43124.1259859607</v>
      </c>
      <c r="J301" s="7" t="n">
        <v>43115.6348342477</v>
      </c>
      <c r="K301" s="8" t="n">
        <v>43115.6348342477</v>
      </c>
      <c r="L301" s="6" t="s">
        <v>15</v>
      </c>
      <c r="M301" s="6"/>
      <c r="N301" s="6"/>
      <c r="O301" s="6"/>
      <c r="P301" s="6" t="s">
        <v>16</v>
      </c>
      <c r="Q301" s="0" t="n">
        <f>TODAY()-j301</f>
        <v>154.36516575230053</v>
      </c>
      <c r="R301" t="str">
        <f>VLOOKUP(A301,'Last Week'!A4:I397,7,FALSE)</f>
        <v>CLOSED</v>
      </c>
    </row>
    <row collapsed="false" customFormat="false" customHeight="true" hidden="false" ht="23.85" outlineLevel="0" r="302">
      <c r="A302" s="6" t="s">
        <v>742</v>
      </c>
      <c r="B302" s="6" t="s">
        <v>347</v>
      </c>
      <c r="C302" s="6"/>
      <c r="D302" s="6" t="s">
        <v>339</v>
      </c>
      <c r="E302" s="6" t="s">
        <v>339</v>
      </c>
      <c r="F302" s="6"/>
      <c r="G302" s="6" t="s">
        <v>14</v>
      </c>
      <c r="H302" s="7" t="n">
        <v>43119.125841088</v>
      </c>
      <c r="I302" s="8" t="n">
        <v>43119.125841088</v>
      </c>
      <c r="J302" s="7" t="n">
        <v>43115.6609987847</v>
      </c>
      <c r="K302" s="8" t="n">
        <v>43115.6609987847</v>
      </c>
      <c r="L302" s="6" t="s">
        <v>15</v>
      </c>
      <c r="M302" s="6"/>
      <c r="N302" s="6"/>
      <c r="O302" s="6"/>
      <c r="P302" s="6" t="s">
        <v>16</v>
      </c>
      <c r="Q302" s="0" t="n">
        <f>TODAY()-j302</f>
        <v>154.33900121530314</v>
      </c>
      <c r="R302" t="str">
        <f>VLOOKUP(A302,'Last Week'!A4:I397,7,FALSE)</f>
        <v>CLOSED</v>
      </c>
    </row>
    <row collapsed="false" customFormat="false" customHeight="true" hidden="false" ht="23.85" outlineLevel="0" r="303">
      <c r="A303" s="6" t="s">
        <v>743</v>
      </c>
      <c r="B303" s="6" t="s">
        <v>744</v>
      </c>
      <c r="C303" s="6"/>
      <c r="D303" s="6" t="s">
        <v>140</v>
      </c>
      <c r="E303" s="6" t="s">
        <v>72</v>
      </c>
      <c r="F303" s="6"/>
      <c r="G303" s="6" t="s">
        <v>14</v>
      </c>
      <c r="H303" s="7" t="n">
        <v>43122.3632832523</v>
      </c>
      <c r="I303" s="8" t="n">
        <v>43122.3632832523</v>
      </c>
      <c r="J303" s="7" t="n">
        <v>43115.7100600463</v>
      </c>
      <c r="K303" s="8" t="n">
        <v>43115.7100600463</v>
      </c>
      <c r="L303" s="6" t="s">
        <v>15</v>
      </c>
      <c r="M303" s="6"/>
      <c r="N303" s="6"/>
      <c r="O303" s="6"/>
      <c r="P303" s="6" t="s">
        <v>16</v>
      </c>
      <c r="Q303" s="0" t="n">
        <f>TODAY()-j303</f>
        <v>154.2899399536982</v>
      </c>
      <c r="R303" t="str">
        <f>VLOOKUP(A303,'Last Week'!A4:I397,7,FALSE)</f>
        <v>CLOSED</v>
      </c>
    </row>
    <row collapsed="false" customFormat="false" customHeight="true" hidden="false" ht="35.05" outlineLevel="0" r="304">
      <c r="A304" s="6" t="s">
        <v>745</v>
      </c>
      <c r="B304" s="6" t="s">
        <v>746</v>
      </c>
      <c r="C304" s="6"/>
      <c r="D304" s="6" t="s">
        <v>728</v>
      </c>
      <c r="E304" s="6" t="s">
        <v>208</v>
      </c>
      <c r="F304" s="6"/>
      <c r="G304" s="6" t="s">
        <v>14</v>
      </c>
      <c r="H304" s="7" t="n">
        <v>43126.3333931019</v>
      </c>
      <c r="I304" s="8" t="n">
        <v>43126.3333931019</v>
      </c>
      <c r="J304" s="7" t="n">
        <v>43116.4134404398</v>
      </c>
      <c r="K304" s="8" t="n">
        <v>43116.4134404398</v>
      </c>
      <c r="L304" s="6" t="s">
        <v>15</v>
      </c>
      <c r="M304" s="6"/>
      <c r="N304" s="6"/>
      <c r="O304" s="6"/>
      <c r="P304" s="6" t="s">
        <v>16</v>
      </c>
      <c r="Q304" s="0" t="n">
        <f>TODAY()-j304</f>
        <v>153.58655956020084</v>
      </c>
      <c r="R304" t="str">
        <f>VLOOKUP(A304,'Last Week'!A4:I397,7,FALSE)</f>
        <v>CLOSED</v>
      </c>
    </row>
    <row collapsed="false" customFormat="false" customHeight="true" hidden="false" ht="23.85" outlineLevel="0" r="305">
      <c r="A305" s="6" t="s">
        <v>747</v>
      </c>
      <c r="B305" s="6" t="s">
        <v>748</v>
      </c>
      <c r="C305" s="6"/>
      <c r="D305" s="6" t="s">
        <v>749</v>
      </c>
      <c r="E305" s="6" t="s">
        <v>72</v>
      </c>
      <c r="F305" s="6"/>
      <c r="G305" s="6" t="s">
        <v>14</v>
      </c>
      <c r="H305" s="7" t="n">
        <v>43118.1556248958</v>
      </c>
      <c r="I305" s="8" t="n">
        <v>43118.1556248958</v>
      </c>
      <c r="J305" s="7" t="n">
        <v>43116.4271895718</v>
      </c>
      <c r="K305" s="8" t="n">
        <v>43116.4271895718</v>
      </c>
      <c r="L305" s="6" t="s">
        <v>15</v>
      </c>
      <c r="M305" s="6"/>
      <c r="N305" s="6"/>
      <c r="O305" s="6"/>
      <c r="P305" s="6" t="s">
        <v>16</v>
      </c>
      <c r="Q305" s="0" t="n">
        <f>TODAY()-j305</f>
        <v>153.5728104282025</v>
      </c>
      <c r="R305" t="str">
        <f>VLOOKUP(A305,'Last Week'!A4:I397,7,FALSE)</f>
        <v>CLOSED</v>
      </c>
    </row>
    <row collapsed="false" customFormat="false" customHeight="true" hidden="false" ht="23.85" outlineLevel="0" r="306">
      <c r="A306" s="6" t="s">
        <v>750</v>
      </c>
      <c r="B306" s="6" t="s">
        <v>751</v>
      </c>
      <c r="C306" s="6"/>
      <c r="D306" s="6" t="s">
        <v>752</v>
      </c>
      <c r="E306" s="6" t="s">
        <v>208</v>
      </c>
      <c r="F306" s="6"/>
      <c r="G306" s="6" t="s">
        <v>14</v>
      </c>
      <c r="H306" s="7" t="n">
        <v>43119.1254987616</v>
      </c>
      <c r="I306" s="8" t="n">
        <v>43119.1254987616</v>
      </c>
      <c r="J306" s="7" t="n">
        <v>43116.6927862616</v>
      </c>
      <c r="K306" s="8" t="n">
        <v>43116.6927862616</v>
      </c>
      <c r="L306" s="6" t="s">
        <v>15</v>
      </c>
      <c r="M306" s="6"/>
      <c r="N306" s="6"/>
      <c r="O306" s="6"/>
      <c r="P306" s="6" t="s">
        <v>16</v>
      </c>
      <c r="Q306" s="0" t="n">
        <f>TODAY()-j306</f>
        <v>153.3072137384006</v>
      </c>
      <c r="R306" t="str">
        <f>VLOOKUP(A306,'Last Week'!A4:I397,7,FALSE)</f>
        <v>CLOSED</v>
      </c>
    </row>
    <row collapsed="false" customFormat="false" customHeight="true" hidden="false" ht="23.85" outlineLevel="0" r="307">
      <c r="A307" s="6" t="s">
        <v>753</v>
      </c>
      <c r="B307" s="6" t="s">
        <v>754</v>
      </c>
      <c r="C307" s="6"/>
      <c r="D307" s="6" t="s">
        <v>755</v>
      </c>
      <c r="E307" s="6" t="s">
        <v>755</v>
      </c>
      <c r="F307" s="6"/>
      <c r="G307" s="6" t="s">
        <v>14</v>
      </c>
      <c r="H307" s="7" t="n">
        <v>43124.1259893634</v>
      </c>
      <c r="I307" s="8" t="n">
        <v>43124.1259893634</v>
      </c>
      <c r="J307" s="7" t="n">
        <v>43116.7045196065</v>
      </c>
      <c r="K307" s="8" t="n">
        <v>43116.7045196065</v>
      </c>
      <c r="L307" s="6" t="s">
        <v>15</v>
      </c>
      <c r="M307" s="6"/>
      <c r="N307" s="6"/>
      <c r="O307" s="6"/>
      <c r="P307" s="6" t="s">
        <v>16</v>
      </c>
      <c r="Q307" s="0" t="n">
        <f>TODAY()-j307</f>
        <v>153.29548039349902</v>
      </c>
      <c r="R307" t="str">
        <f>VLOOKUP(A307,'Last Week'!A4:I397,7,FALSE)</f>
        <v>CLOSED</v>
      </c>
    </row>
    <row collapsed="false" customFormat="false" customHeight="true" hidden="false" ht="23.85" outlineLevel="0" r="308">
      <c r="A308" s="6" t="s">
        <v>756</v>
      </c>
      <c r="B308" s="6" t="s">
        <v>757</v>
      </c>
      <c r="C308" s="6"/>
      <c r="D308" s="6" t="s">
        <v>758</v>
      </c>
      <c r="E308" s="6" t="s">
        <v>215</v>
      </c>
      <c r="F308" s="6"/>
      <c r="G308" s="6" t="s">
        <v>14</v>
      </c>
      <c r="H308" s="7" t="n">
        <v>43124.1251359722</v>
      </c>
      <c r="I308" s="8" t="n">
        <v>43124.1251359722</v>
      </c>
      <c r="J308" s="7" t="n">
        <v>43117.3519524421</v>
      </c>
      <c r="K308" s="8" t="n">
        <v>43117.3519524421</v>
      </c>
      <c r="L308" s="6" t="s">
        <v>15</v>
      </c>
      <c r="M308" s="6"/>
      <c r="N308" s="6"/>
      <c r="O308" s="6"/>
      <c r="P308" s="6" t="s">
        <v>16</v>
      </c>
      <c r="Q308" s="0" t="n">
        <f>TODAY()-j308</f>
        <v>152.648047557901</v>
      </c>
      <c r="R308" t="str">
        <f>VLOOKUP(A308,'Last Week'!A4:I397,7,FALSE)</f>
        <v>CLOSED</v>
      </c>
    </row>
    <row collapsed="false" customFormat="false" customHeight="true" hidden="false" ht="23.85" outlineLevel="0" r="309">
      <c r="A309" s="6" t="s">
        <v>759</v>
      </c>
      <c r="B309" s="6" t="s">
        <v>760</v>
      </c>
      <c r="C309" s="6"/>
      <c r="D309" s="6" t="s">
        <v>758</v>
      </c>
      <c r="E309" s="6" t="s">
        <v>215</v>
      </c>
      <c r="F309" s="6"/>
      <c r="G309" s="6" t="s">
        <v>14</v>
      </c>
      <c r="H309" s="7" t="n">
        <v>43119.1256536574</v>
      </c>
      <c r="I309" s="8" t="n">
        <v>43119.1256536574</v>
      </c>
      <c r="J309" s="7" t="n">
        <v>43117.3586306019</v>
      </c>
      <c r="K309" s="8" t="n">
        <v>43117.3586306019</v>
      </c>
      <c r="L309" s="6" t="s">
        <v>15</v>
      </c>
      <c r="M309" s="6"/>
      <c r="N309" s="6"/>
      <c r="O309" s="6"/>
      <c r="P309" s="6" t="s">
        <v>58</v>
      </c>
      <c r="Q309" s="0" t="n">
        <f>TODAY()-j309</f>
        <v>152.64136939810123</v>
      </c>
      <c r="R309" t="str">
        <f>VLOOKUP(A309,'Last Week'!A4:I397,7,FALSE)</f>
        <v>CLOSED</v>
      </c>
    </row>
    <row collapsed="false" customFormat="false" customHeight="true" hidden="false" ht="23.85" outlineLevel="0" r="310">
      <c r="A310" s="6" t="s">
        <v>761</v>
      </c>
      <c r="B310" s="6" t="s">
        <v>762</v>
      </c>
      <c r="C310" s="6"/>
      <c r="D310" s="6" t="s">
        <v>763</v>
      </c>
      <c r="E310" s="6" t="s">
        <v>20</v>
      </c>
      <c r="F310" s="6"/>
      <c r="G310" s="6" t="s">
        <v>14</v>
      </c>
      <c r="H310" s="7" t="n">
        <v>43119.1257572801</v>
      </c>
      <c r="I310" s="8" t="n">
        <v>43119.1257572801</v>
      </c>
      <c r="J310" s="7" t="n">
        <v>43117.4941271528</v>
      </c>
      <c r="K310" s="8" t="n">
        <v>43117.4941271528</v>
      </c>
      <c r="L310" s="6" t="s">
        <v>15</v>
      </c>
      <c r="M310" s="6"/>
      <c r="N310" s="6"/>
      <c r="O310" s="6"/>
      <c r="P310" s="6" t="s">
        <v>58</v>
      </c>
      <c r="Q310" s="0" t="n">
        <f>TODAY()-j310</f>
        <v>152.5058728471995</v>
      </c>
      <c r="R310" t="str">
        <f>VLOOKUP(A310,'Last Week'!A4:I397,7,FALSE)</f>
        <v>CLOSED</v>
      </c>
    </row>
    <row collapsed="false" customFormat="false" customHeight="true" hidden="false" ht="23.85" outlineLevel="0" r="311">
      <c r="A311" s="6" t="s">
        <v>764</v>
      </c>
      <c r="B311" s="6" t="s">
        <v>765</v>
      </c>
      <c r="C311" s="6"/>
      <c r="D311" s="6" t="s">
        <v>84</v>
      </c>
      <c r="E311" s="6" t="s">
        <v>183</v>
      </c>
      <c r="F311" s="6"/>
      <c r="G311" s="6" t="s">
        <v>14</v>
      </c>
      <c r="H311" s="7" t="n">
        <v>43201.2089130208</v>
      </c>
      <c r="I311" s="8" t="n">
        <v>43201.2089130208</v>
      </c>
      <c r="J311" s="7" t="n">
        <v>43117.5447469907</v>
      </c>
      <c r="K311" s="8" t="n">
        <v>43117.5447469907</v>
      </c>
      <c r="L311" s="6" t="s">
        <v>15</v>
      </c>
      <c r="M311" s="6"/>
      <c r="N311" s="6"/>
      <c r="O311" s="6"/>
      <c r="P311" s="6" t="s">
        <v>16</v>
      </c>
      <c r="Q311" s="0" t="n">
        <f>TODAY()-j311</f>
        <v>152.45525300929876</v>
      </c>
      <c r="R311" t="str">
        <f>VLOOKUP(A311,'Last Week'!A4:I397,7,FALSE)</f>
        <v>CLOSED</v>
      </c>
    </row>
    <row collapsed="false" customFormat="false" customHeight="true" hidden="false" ht="23.85" outlineLevel="0" r="312">
      <c r="A312" s="6" t="s">
        <v>766</v>
      </c>
      <c r="B312" s="6" t="s">
        <v>767</v>
      </c>
      <c r="C312" s="6"/>
      <c r="D312" s="6" t="s">
        <v>768</v>
      </c>
      <c r="E312" s="6" t="s">
        <v>72</v>
      </c>
      <c r="F312" s="6"/>
      <c r="G312" s="6" t="s">
        <v>14</v>
      </c>
      <c r="H312" s="7" t="n">
        <v>43126.1262473843</v>
      </c>
      <c r="I312" s="8" t="n">
        <v>43126.1262473843</v>
      </c>
      <c r="J312" s="7" t="n">
        <v>43118.5579097338</v>
      </c>
      <c r="K312" s="8" t="n">
        <v>43118.5579097338</v>
      </c>
      <c r="L312" s="6" t="s">
        <v>15</v>
      </c>
      <c r="M312" s="6"/>
      <c r="N312" s="6"/>
      <c r="O312" s="6"/>
      <c r="P312" s="6" t="s">
        <v>16</v>
      </c>
      <c r="Q312" s="0" t="n">
        <f>TODAY()-j312</f>
        <v>151.44209026620229</v>
      </c>
      <c r="R312" t="str">
        <f>VLOOKUP(A312,'Last Week'!A4:I397,7,FALSE)</f>
        <v>CLOSED</v>
      </c>
    </row>
    <row collapsed="false" customFormat="false" customHeight="true" hidden="false" ht="23.85" outlineLevel="0" r="313">
      <c r="A313" s="6" t="s">
        <v>769</v>
      </c>
      <c r="B313" s="6" t="s">
        <v>561</v>
      </c>
      <c r="C313" s="6"/>
      <c r="D313" s="6" t="s">
        <v>556</v>
      </c>
      <c r="E313" s="6" t="s">
        <v>24</v>
      </c>
      <c r="F313" s="6"/>
      <c r="G313" s="6" t="s">
        <v>14</v>
      </c>
      <c r="H313" s="7" t="n">
        <v>43122.3333876968</v>
      </c>
      <c r="I313" s="8" t="n">
        <v>43122.3333876968</v>
      </c>
      <c r="J313" s="7" t="n">
        <v>43118.6174659954</v>
      </c>
      <c r="K313" s="8" t="n">
        <v>43118.6174659954</v>
      </c>
      <c r="L313" s="6" t="s">
        <v>15</v>
      </c>
      <c r="M313" s="6"/>
      <c r="N313" s="6"/>
      <c r="O313" s="6"/>
      <c r="P313" s="6" t="s">
        <v>16</v>
      </c>
      <c r="Q313" s="0" t="n">
        <f>TODAY()-j313</f>
        <v>151.38253400460235</v>
      </c>
      <c r="R313" t="str">
        <f>VLOOKUP(A313,'Last Week'!A4:I397,7,FALSE)</f>
        <v>CLOSED</v>
      </c>
    </row>
    <row collapsed="false" customFormat="false" customHeight="true" hidden="false" ht="23.85" outlineLevel="0" r="314">
      <c r="A314" s="6" t="s">
        <v>770</v>
      </c>
      <c r="B314" s="6" t="s">
        <v>771</v>
      </c>
      <c r="C314" s="6"/>
      <c r="D314" s="6" t="s">
        <v>728</v>
      </c>
      <c r="E314" s="6" t="s">
        <v>183</v>
      </c>
      <c r="F314" s="6"/>
      <c r="G314" s="6" t="s">
        <v>14</v>
      </c>
      <c r="H314" s="7" t="n">
        <v>43126.3334014352</v>
      </c>
      <c r="I314" s="8" t="n">
        <v>43126.3334014352</v>
      </c>
      <c r="J314" s="7" t="n">
        <v>43118.6589894907</v>
      </c>
      <c r="K314" s="8" t="n">
        <v>43118.6589894907</v>
      </c>
      <c r="L314" s="6" t="s">
        <v>15</v>
      </c>
      <c r="M314" s="6"/>
      <c r="N314" s="6"/>
      <c r="O314" s="6"/>
      <c r="P314" s="6" t="s">
        <v>16</v>
      </c>
      <c r="Q314" s="0" t="n">
        <f>TODAY()-j314</f>
        <v>151.34101050929894</v>
      </c>
      <c r="R314" t="str">
        <f>VLOOKUP(A314,'Last Week'!A4:I397,7,FALSE)</f>
        <v>CLOSED</v>
      </c>
    </row>
    <row collapsed="false" customFormat="false" customHeight="true" hidden="false" ht="35.05" outlineLevel="0" r="315">
      <c r="A315" s="6" t="s">
        <v>772</v>
      </c>
      <c r="B315" s="6" t="s">
        <v>773</v>
      </c>
      <c r="C315" s="6"/>
      <c r="D315" s="6" t="s">
        <v>61</v>
      </c>
      <c r="E315" s="6" t="s">
        <v>72</v>
      </c>
      <c r="F315" s="6"/>
      <c r="G315" s="6" t="s">
        <v>14</v>
      </c>
      <c r="H315" s="7" t="n">
        <v>43124.1254543287</v>
      </c>
      <c r="I315" s="8" t="n">
        <v>43124.1254543287</v>
      </c>
      <c r="J315" s="7" t="n">
        <v>43119.5141446875</v>
      </c>
      <c r="K315" s="8" t="n">
        <v>43119.5141446875</v>
      </c>
      <c r="L315" s="6" t="s">
        <v>15</v>
      </c>
      <c r="M315" s="6"/>
      <c r="N315" s="6"/>
      <c r="O315" s="6"/>
      <c r="P315" s="6" t="s">
        <v>58</v>
      </c>
      <c r="Q315" s="0" t="n">
        <f>TODAY()-j315</f>
        <v>150.48585531250137</v>
      </c>
      <c r="R315" t="str">
        <f>VLOOKUP(A315,'Last Week'!A4:I397,7,FALSE)</f>
        <v>CLOSED</v>
      </c>
    </row>
    <row collapsed="false" customFormat="false" customHeight="true" hidden="false" ht="23.85" outlineLevel="0" r="316">
      <c r="A316" s="6" t="s">
        <v>774</v>
      </c>
      <c r="B316" s="6" t="s">
        <v>585</v>
      </c>
      <c r="C316" s="6"/>
      <c r="D316" s="6" t="s">
        <v>586</v>
      </c>
      <c r="E316" s="6" t="s">
        <v>115</v>
      </c>
      <c r="F316" s="6"/>
      <c r="G316" s="6" t="s">
        <v>14</v>
      </c>
      <c r="H316" s="7" t="n">
        <v>43130.5133060648</v>
      </c>
      <c r="I316" s="8" t="n">
        <v>43130.5133060648</v>
      </c>
      <c r="J316" s="7" t="n">
        <v>43119.6725254514</v>
      </c>
      <c r="K316" s="8" t="n">
        <v>43119.6725254514</v>
      </c>
      <c r="L316" s="6" t="s">
        <v>15</v>
      </c>
      <c r="M316" s="6"/>
      <c r="N316" s="6"/>
      <c r="O316" s="6"/>
      <c r="P316" s="6" t="s">
        <v>16</v>
      </c>
      <c r="Q316" s="0" t="n">
        <f>TODAY()-j316</f>
        <v>150.32747454859782</v>
      </c>
      <c r="R316" t="str">
        <f>VLOOKUP(A316,'Last Week'!A4:I397,7,FALSE)</f>
        <v>CLOSED</v>
      </c>
    </row>
    <row collapsed="false" customFormat="false" customHeight="true" hidden="false" ht="35.05" outlineLevel="0" r="317">
      <c r="A317" s="6" t="s">
        <v>775</v>
      </c>
      <c r="B317" s="6" t="s">
        <v>776</v>
      </c>
      <c r="C317" s="6"/>
      <c r="D317" s="6" t="s">
        <v>61</v>
      </c>
      <c r="E317" s="6" t="s">
        <v>50</v>
      </c>
      <c r="F317" s="6"/>
      <c r="G317" s="6" t="s">
        <v>14</v>
      </c>
      <c r="H317" s="7" t="n">
        <v>43124.1256743171</v>
      </c>
      <c r="I317" s="8" t="n">
        <v>43124.1256743171</v>
      </c>
      <c r="J317" s="7" t="n">
        <v>43120.097347581</v>
      </c>
      <c r="K317" s="8" t="n">
        <v>43120.097347581</v>
      </c>
      <c r="L317" s="6" t="s">
        <v>15</v>
      </c>
      <c r="M317" s="6"/>
      <c r="N317" s="6"/>
      <c r="O317" s="6"/>
      <c r="P317" s="6" t="s">
        <v>58</v>
      </c>
      <c r="Q317" s="0" t="n">
        <f>TODAY()-j317</f>
        <v>149.9026524189976</v>
      </c>
      <c r="R317" t="str">
        <f>VLOOKUP(A317,'Last Week'!A4:I397,7,FALSE)</f>
        <v>CLOSED</v>
      </c>
    </row>
    <row collapsed="false" customFormat="false" customHeight="true" hidden="false" ht="23.85" outlineLevel="0" r="318">
      <c r="A318" s="6" t="s">
        <v>777</v>
      </c>
      <c r="B318" s="6" t="s">
        <v>778</v>
      </c>
      <c r="C318" s="6"/>
      <c r="D318" s="6" t="s">
        <v>592</v>
      </c>
      <c r="E318" s="6" t="s">
        <v>401</v>
      </c>
      <c r="F318" s="6"/>
      <c r="G318" s="6" t="s">
        <v>14</v>
      </c>
      <c r="H318" s="7" t="n">
        <v>43124.125798206</v>
      </c>
      <c r="I318" s="8" t="n">
        <v>43124.125798206</v>
      </c>
      <c r="J318" s="7" t="n">
        <v>43122.4213963426</v>
      </c>
      <c r="K318" s="8" t="n">
        <v>43122.4213963426</v>
      </c>
      <c r="L318" s="6" t="s">
        <v>15</v>
      </c>
      <c r="M318" s="6"/>
      <c r="N318" s="6"/>
      <c r="O318" s="6"/>
      <c r="P318" s="6" t="s">
        <v>16</v>
      </c>
      <c r="Q318" s="0" t="n">
        <f>TODAY()-j318</f>
        <v>147.57860365739907</v>
      </c>
      <c r="R318" t="str">
        <f>VLOOKUP(A318,'Last Week'!A4:I397,7,FALSE)</f>
        <v>CLOSED</v>
      </c>
    </row>
    <row collapsed="false" customFormat="false" customHeight="true" hidden="false" ht="23.85" outlineLevel="0" r="319">
      <c r="A319" s="6" t="s">
        <v>779</v>
      </c>
      <c r="B319" s="6" t="s">
        <v>561</v>
      </c>
      <c r="C319" s="6"/>
      <c r="D319" s="6" t="s">
        <v>780</v>
      </c>
      <c r="E319" s="6" t="s">
        <v>81</v>
      </c>
      <c r="F319" s="6"/>
      <c r="G319" s="6" t="s">
        <v>14</v>
      </c>
      <c r="H319" s="7" t="n">
        <v>43124.1258412269</v>
      </c>
      <c r="I319" s="8" t="n">
        <v>43124.1258412269</v>
      </c>
      <c r="J319" s="7" t="n">
        <v>43122.4544512963</v>
      </c>
      <c r="K319" s="8" t="n">
        <v>43122.4544512963</v>
      </c>
      <c r="L319" s="6" t="s">
        <v>15</v>
      </c>
      <c r="M319" s="6"/>
      <c r="N319" s="6"/>
      <c r="O319" s="6"/>
      <c r="P319" s="6" t="s">
        <v>16</v>
      </c>
      <c r="Q319" s="0" t="n">
        <f>TODAY()-j319</f>
        <v>147.5455487037034</v>
      </c>
      <c r="R319" t="str">
        <f>VLOOKUP(A319,'Last Week'!A4:I397,7,FALSE)</f>
        <v>CLOSED</v>
      </c>
    </row>
    <row collapsed="false" customFormat="false" customHeight="true" hidden="false" ht="35.05" outlineLevel="0" r="320">
      <c r="A320" s="6" t="s">
        <v>781</v>
      </c>
      <c r="B320" s="6" t="s">
        <v>782</v>
      </c>
      <c r="C320" s="6"/>
      <c r="D320" s="6" t="s">
        <v>61</v>
      </c>
      <c r="E320" s="6" t="s">
        <v>72</v>
      </c>
      <c r="F320" s="6"/>
      <c r="G320" s="6" t="s">
        <v>14</v>
      </c>
      <c r="H320" s="7" t="n">
        <v>43126.1262443171</v>
      </c>
      <c r="I320" s="8" t="n">
        <v>43126.1262443171</v>
      </c>
      <c r="J320" s="7" t="n">
        <v>43122.6159802894</v>
      </c>
      <c r="K320" s="8" t="n">
        <v>43122.6159802894</v>
      </c>
      <c r="L320" s="6" t="s">
        <v>15</v>
      </c>
      <c r="M320" s="6"/>
      <c r="N320" s="6"/>
      <c r="O320" s="6"/>
      <c r="P320" s="6" t="s">
        <v>16</v>
      </c>
      <c r="Q320" s="0" t="n">
        <f>TODAY()-j320</f>
        <v>147.38401971059648</v>
      </c>
      <c r="R320" t="str">
        <f>VLOOKUP(A320,'Last Week'!A4:I397,7,FALSE)</f>
        <v>CLOSED</v>
      </c>
    </row>
    <row collapsed="false" customFormat="false" customHeight="true" hidden="false" ht="23.85" outlineLevel="0" r="321">
      <c r="A321" s="6" t="s">
        <v>783</v>
      </c>
      <c r="B321" s="6" t="s">
        <v>784</v>
      </c>
      <c r="C321" s="6"/>
      <c r="D321" s="6" t="s">
        <v>785</v>
      </c>
      <c r="E321" s="6" t="s">
        <v>785</v>
      </c>
      <c r="F321" s="6"/>
      <c r="G321" s="6" t="s">
        <v>14</v>
      </c>
      <c r="H321" s="7" t="n">
        <v>43260.0836806713</v>
      </c>
      <c r="I321" s="8" t="n">
        <v>43260.0836806713</v>
      </c>
      <c r="J321" s="7" t="n">
        <v>43122.6315949421</v>
      </c>
      <c r="K321" s="8" t="n">
        <v>43122.6315949421</v>
      </c>
      <c r="L321" s="6" t="s">
        <v>15</v>
      </c>
      <c r="M321" s="6"/>
      <c r="N321" s="6"/>
      <c r="O321" s="6"/>
      <c r="P321" s="6" t="s">
        <v>16</v>
      </c>
      <c r="Q321" s="0" t="n">
        <f>TODAY()-j321</f>
        <v>147.36840505790315</v>
      </c>
      <c r="R321" t="str">
        <f>VLOOKUP(A321,'Last Week'!A4:I397,7,FALSE)</f>
        <v>RESOLVED</v>
      </c>
    </row>
    <row collapsed="false" customFormat="false" customHeight="true" hidden="false" ht="35.05" outlineLevel="0" r="322">
      <c r="A322" s="6" t="s">
        <v>786</v>
      </c>
      <c r="B322" s="6" t="s">
        <v>787</v>
      </c>
      <c r="C322" s="6"/>
      <c r="D322" s="6" t="s">
        <v>61</v>
      </c>
      <c r="E322" s="6" t="s">
        <v>50</v>
      </c>
      <c r="F322" s="6"/>
      <c r="G322" s="6" t="s">
        <v>14</v>
      </c>
      <c r="H322" s="7" t="n">
        <v>43125.1257610185</v>
      </c>
      <c r="I322" s="8" t="n">
        <v>43125.1257610185</v>
      </c>
      <c r="J322" s="7" t="n">
        <v>43123.079369213</v>
      </c>
      <c r="K322" s="8" t="n">
        <v>43123.079369213</v>
      </c>
      <c r="L322" s="6" t="s">
        <v>15</v>
      </c>
      <c r="M322" s="6"/>
      <c r="N322" s="6"/>
      <c r="O322" s="6"/>
      <c r="P322" s="6" t="s">
        <v>58</v>
      </c>
      <c r="Q322" s="0" t="n">
        <f>TODAY()-j322</f>
        <v>146.9206307869972</v>
      </c>
      <c r="R322" t="str">
        <f>VLOOKUP(A322,'Last Week'!A4:I397,7,FALSE)</f>
        <v>CLOSED</v>
      </c>
    </row>
    <row collapsed="false" customFormat="false" customHeight="true" hidden="false" ht="23.85" outlineLevel="0" r="323">
      <c r="A323" s="6" t="s">
        <v>788</v>
      </c>
      <c r="B323" s="6" t="s">
        <v>156</v>
      </c>
      <c r="C323" s="6"/>
      <c r="D323" s="6" t="s">
        <v>140</v>
      </c>
      <c r="E323" s="6" t="s">
        <v>72</v>
      </c>
      <c r="F323" s="6"/>
      <c r="G323" s="6" t="s">
        <v>14</v>
      </c>
      <c r="H323" s="7" t="n">
        <v>43125.2084265394</v>
      </c>
      <c r="I323" s="8" t="n">
        <v>43125.2084265394</v>
      </c>
      <c r="J323" s="7" t="n">
        <v>43123.6227750232</v>
      </c>
      <c r="K323" s="8" t="n">
        <v>43123.6227750232</v>
      </c>
      <c r="L323" s="6" t="s">
        <v>15</v>
      </c>
      <c r="M323" s="6"/>
      <c r="N323" s="6"/>
      <c r="O323" s="6"/>
      <c r="P323" s="6" t="s">
        <v>58</v>
      </c>
      <c r="Q323" s="0" t="n">
        <f>TODAY()-j323</f>
        <v>146.3772249768008</v>
      </c>
      <c r="R323" t="str">
        <f>VLOOKUP(A323,'Last Week'!A4:I397,7,FALSE)</f>
        <v>CLOSED</v>
      </c>
    </row>
    <row collapsed="false" customFormat="false" customHeight="true" hidden="false" ht="35.05" outlineLevel="0" r="324">
      <c r="A324" s="6" t="s">
        <v>789</v>
      </c>
      <c r="B324" s="6" t="s">
        <v>790</v>
      </c>
      <c r="C324" s="6"/>
      <c r="D324" s="6" t="s">
        <v>61</v>
      </c>
      <c r="E324" s="6" t="s">
        <v>50</v>
      </c>
      <c r="F324" s="6"/>
      <c r="G324" s="6" t="s">
        <v>14</v>
      </c>
      <c r="H324" s="7" t="n">
        <v>43126.1257605556</v>
      </c>
      <c r="I324" s="8" t="n">
        <v>43126.1257605556</v>
      </c>
      <c r="J324" s="7" t="n">
        <v>43124.2729052662</v>
      </c>
      <c r="K324" s="8" t="n">
        <v>43124.2729052662</v>
      </c>
      <c r="L324" s="6" t="s">
        <v>15</v>
      </c>
      <c r="M324" s="6"/>
      <c r="N324" s="6"/>
      <c r="O324" s="6"/>
      <c r="P324" s="6" t="s">
        <v>58</v>
      </c>
      <c r="Q324" s="0" t="n">
        <f>TODAY()-j324</f>
        <v>145.72709473379655</v>
      </c>
      <c r="R324" t="str">
        <f>VLOOKUP(A324,'Last Week'!A4:I397,7,FALSE)</f>
        <v>CLOSED</v>
      </c>
    </row>
    <row collapsed="false" customFormat="false" customHeight="true" hidden="false" ht="23.85" outlineLevel="0" r="325">
      <c r="A325" s="6" t="s">
        <v>791</v>
      </c>
      <c r="B325" s="6" t="s">
        <v>792</v>
      </c>
      <c r="C325" s="6"/>
      <c r="D325" s="6" t="s">
        <v>61</v>
      </c>
      <c r="E325" s="6" t="s">
        <v>72</v>
      </c>
      <c r="F325" s="6"/>
      <c r="G325" s="6" t="s">
        <v>14</v>
      </c>
      <c r="H325" s="7" t="n">
        <v>43129.000066331</v>
      </c>
      <c r="I325" s="8" t="n">
        <v>43129.000066331</v>
      </c>
      <c r="J325" s="7" t="n">
        <v>43126.4709054745</v>
      </c>
      <c r="K325" s="8" t="n">
        <v>43126.4709054745</v>
      </c>
      <c r="L325" s="6" t="s">
        <v>15</v>
      </c>
      <c r="M325" s="6"/>
      <c r="N325" s="6"/>
      <c r="O325" s="6"/>
      <c r="P325" s="6" t="s">
        <v>58</v>
      </c>
      <c r="Q325" s="0" t="n">
        <f>TODAY()-j325</f>
        <v>143.52909452549648</v>
      </c>
      <c r="R325" t="str">
        <f>VLOOKUP(A325,'Last Week'!A4:I397,7,FALSE)</f>
        <v>CLOSED</v>
      </c>
    </row>
    <row collapsed="false" customFormat="false" customHeight="true" hidden="false" ht="23.85" outlineLevel="0" r="326">
      <c r="A326" s="6" t="s">
        <v>793</v>
      </c>
      <c r="B326" s="6" t="s">
        <v>794</v>
      </c>
      <c r="C326" s="6"/>
      <c r="D326" s="6" t="s">
        <v>61</v>
      </c>
      <c r="E326" s="6" t="s">
        <v>208</v>
      </c>
      <c r="F326" s="6"/>
      <c r="G326" s="6" t="s">
        <v>14</v>
      </c>
      <c r="H326" s="7" t="n">
        <v>43132.3811430903</v>
      </c>
      <c r="I326" s="8" t="n">
        <v>43132.3811430903</v>
      </c>
      <c r="J326" s="7" t="n">
        <v>43126.6059779977</v>
      </c>
      <c r="K326" s="8" t="n">
        <v>43126.6059779977</v>
      </c>
      <c r="L326" s="6" t="s">
        <v>15</v>
      </c>
      <c r="M326" s="6"/>
      <c r="N326" s="6"/>
      <c r="O326" s="6"/>
      <c r="P326" s="6" t="s">
        <v>58</v>
      </c>
      <c r="Q326" s="0" t="n">
        <f>TODAY()-j326</f>
        <v>143.3940220022996</v>
      </c>
      <c r="R326" t="str">
        <f>VLOOKUP(A326,'Last Week'!A4:I397,7,FALSE)</f>
        <v>CLOSED</v>
      </c>
    </row>
    <row collapsed="false" customFormat="false" customHeight="true" hidden="false" ht="35.05" outlineLevel="0" r="327">
      <c r="A327" s="6" t="s">
        <v>795</v>
      </c>
      <c r="B327" s="6" t="s">
        <v>796</v>
      </c>
      <c r="C327" s="6"/>
      <c r="D327" s="6" t="s">
        <v>61</v>
      </c>
      <c r="E327" s="6" t="s">
        <v>72</v>
      </c>
      <c r="F327" s="6"/>
      <c r="G327" s="6" t="s">
        <v>14</v>
      </c>
      <c r="H327" s="7" t="n">
        <v>43131.1257674074</v>
      </c>
      <c r="I327" s="8" t="n">
        <v>43131.1257674074</v>
      </c>
      <c r="J327" s="7" t="n">
        <v>43126.7109895486</v>
      </c>
      <c r="K327" s="8" t="n">
        <v>43126.7109895486</v>
      </c>
      <c r="L327" s="6" t="s">
        <v>15</v>
      </c>
      <c r="M327" s="6"/>
      <c r="N327" s="6"/>
      <c r="O327" s="6"/>
      <c r="P327" s="6" t="s">
        <v>58</v>
      </c>
      <c r="Q327" s="0" t="n">
        <f>TODAY()-j327</f>
        <v>143.28901045140083</v>
      </c>
      <c r="R327" t="str">
        <f>VLOOKUP(A327,'Last Week'!A4:I397,7,FALSE)</f>
        <v>CLOSED</v>
      </c>
    </row>
    <row collapsed="false" customFormat="false" customHeight="true" hidden="false" ht="23.85" outlineLevel="0" r="328">
      <c r="A328" s="6" t="s">
        <v>797</v>
      </c>
      <c r="B328" s="6" t="s">
        <v>798</v>
      </c>
      <c r="C328" s="6"/>
      <c r="D328" s="6" t="s">
        <v>799</v>
      </c>
      <c r="E328" s="6" t="s">
        <v>799</v>
      </c>
      <c r="F328" s="6"/>
      <c r="G328" s="6" t="s">
        <v>14</v>
      </c>
      <c r="H328" s="7" t="n">
        <v>43132.1257320023</v>
      </c>
      <c r="I328" s="8" t="n">
        <v>43132.1257320023</v>
      </c>
      <c r="J328" s="7" t="n">
        <v>43129.6981862847</v>
      </c>
      <c r="K328" s="8" t="n">
        <v>43129.6981862847</v>
      </c>
      <c r="L328" s="6" t="s">
        <v>15</v>
      </c>
      <c r="M328" s="6"/>
      <c r="N328" s="6"/>
      <c r="O328" s="6"/>
      <c r="P328" s="6" t="s">
        <v>58</v>
      </c>
      <c r="Q328" s="0" t="n">
        <f>TODAY()-j328</f>
        <v>140.3018137152976</v>
      </c>
      <c r="R328" t="str">
        <f>VLOOKUP(A328,'Last Week'!A4:I397,7,FALSE)</f>
        <v>CLOSED</v>
      </c>
    </row>
    <row collapsed="false" customFormat="false" customHeight="true" hidden="false" ht="35.05" outlineLevel="0" r="329">
      <c r="A329" s="6" t="s">
        <v>800</v>
      </c>
      <c r="B329" s="6" t="s">
        <v>801</v>
      </c>
      <c r="C329" s="6"/>
      <c r="D329" s="6" t="s">
        <v>61</v>
      </c>
      <c r="E329" s="6" t="s">
        <v>72</v>
      </c>
      <c r="F329" s="6"/>
      <c r="G329" s="6" t="s">
        <v>14</v>
      </c>
      <c r="H329" s="7" t="n">
        <v>43132.4167573611</v>
      </c>
      <c r="I329" s="8" t="n">
        <v>43132.4167573611</v>
      </c>
      <c r="J329" s="7" t="n">
        <v>43130.620776956</v>
      </c>
      <c r="K329" s="8" t="n">
        <v>43130.620776956</v>
      </c>
      <c r="L329" s="6" t="s">
        <v>15</v>
      </c>
      <c r="M329" s="6"/>
      <c r="N329" s="6"/>
      <c r="O329" s="6"/>
      <c r="P329" s="6" t="s">
        <v>16</v>
      </c>
      <c r="Q329" s="0" t="n">
        <f>TODAY()-j329</f>
        <v>139.37922304400126</v>
      </c>
      <c r="R329" t="str">
        <f>VLOOKUP(A329,'Last Week'!A4:I397,7,FALSE)</f>
        <v>CLOSED</v>
      </c>
    </row>
    <row collapsed="false" customFormat="false" customHeight="true" hidden="false" ht="23.85" outlineLevel="0" r="330">
      <c r="A330" s="6" t="s">
        <v>802</v>
      </c>
      <c r="B330" s="6" t="s">
        <v>803</v>
      </c>
      <c r="C330" s="6"/>
      <c r="D330" s="6" t="s">
        <v>804</v>
      </c>
      <c r="E330" s="6" t="s">
        <v>33</v>
      </c>
      <c r="F330" s="6"/>
      <c r="G330" s="6" t="s">
        <v>14</v>
      </c>
      <c r="H330" s="7" t="n">
        <v>43132.4167639583</v>
      </c>
      <c r="I330" s="8" t="n">
        <v>43132.4167639583</v>
      </c>
      <c r="J330" s="7" t="n">
        <v>43130.6943691204</v>
      </c>
      <c r="K330" s="8" t="n">
        <v>43130.6943691204</v>
      </c>
      <c r="L330" s="6" t="s">
        <v>15</v>
      </c>
      <c r="M330" s="6"/>
      <c r="N330" s="6"/>
      <c r="O330" s="6"/>
      <c r="P330" s="6" t="s">
        <v>16</v>
      </c>
      <c r="Q330" s="0" t="n">
        <f>TODAY()-j330</f>
        <v>139.30563087960036</v>
      </c>
      <c r="R330" t="str">
        <f>VLOOKUP(A330,'Last Week'!A4:I397,7,FALSE)</f>
        <v>CLOSED</v>
      </c>
    </row>
    <row collapsed="false" customFormat="false" customHeight="true" hidden="false" ht="35.05" outlineLevel="0" r="331">
      <c r="A331" s="6" t="s">
        <v>805</v>
      </c>
      <c r="B331" s="6" t="s">
        <v>806</v>
      </c>
      <c r="C331" s="6"/>
      <c r="D331" s="6" t="s">
        <v>807</v>
      </c>
      <c r="E331" s="6" t="s">
        <v>45</v>
      </c>
      <c r="F331" s="6"/>
      <c r="G331" s="6" t="s">
        <v>14</v>
      </c>
      <c r="H331" s="7" t="n">
        <v>43138.1252570255</v>
      </c>
      <c r="I331" s="8" t="n">
        <v>43138.1252570255</v>
      </c>
      <c r="J331" s="7" t="n">
        <v>43130.7443149769</v>
      </c>
      <c r="K331" s="8" t="n">
        <v>43130.7443149769</v>
      </c>
      <c r="L331" s="6" t="s">
        <v>15</v>
      </c>
      <c r="M331" s="6"/>
      <c r="N331" s="6"/>
      <c r="O331" s="6"/>
      <c r="P331" s="6" t="s">
        <v>16</v>
      </c>
      <c r="Q331" s="0" t="n">
        <f>TODAY()-j331</f>
        <v>139.2556850230976</v>
      </c>
      <c r="R331" t="str">
        <f>VLOOKUP(A331,'Last Week'!A4:I397,7,FALSE)</f>
        <v>CLOSED</v>
      </c>
    </row>
    <row collapsed="false" customFormat="false" customHeight="true" hidden="false" ht="23.85" outlineLevel="0" r="332">
      <c r="A332" s="6" t="s">
        <v>808</v>
      </c>
      <c r="B332" s="6" t="s">
        <v>809</v>
      </c>
      <c r="C332" s="6"/>
      <c r="D332" s="6" t="s">
        <v>810</v>
      </c>
      <c r="E332" s="6" t="s">
        <v>811</v>
      </c>
      <c r="F332" s="6"/>
      <c r="G332" s="6" t="s">
        <v>14</v>
      </c>
      <c r="H332" s="7" t="n">
        <v>43138.1254040509</v>
      </c>
      <c r="I332" s="8" t="n">
        <v>43138.1254040509</v>
      </c>
      <c r="J332" s="7" t="n">
        <v>43132.5530676389</v>
      </c>
      <c r="K332" s="8" t="n">
        <v>43132.5530676389</v>
      </c>
      <c r="L332" s="6" t="s">
        <v>15</v>
      </c>
      <c r="M332" s="6"/>
      <c r="N332" s="6"/>
      <c r="O332" s="6"/>
      <c r="P332" s="6" t="s">
        <v>16</v>
      </c>
      <c r="Q332" s="0" t="n">
        <f>TODAY()-j332</f>
        <v>137.44693236109742</v>
      </c>
      <c r="R332" t="str">
        <f>VLOOKUP(A332,'Last Week'!A4:I397,7,FALSE)</f>
        <v>CLOSED</v>
      </c>
    </row>
    <row collapsed="false" customFormat="false" customHeight="true" hidden="false" ht="35.05" outlineLevel="0" r="333">
      <c r="A333" s="6" t="s">
        <v>812</v>
      </c>
      <c r="B333" s="6" t="s">
        <v>813</v>
      </c>
      <c r="C333" s="6"/>
      <c r="D333" s="6" t="s">
        <v>61</v>
      </c>
      <c r="E333" s="6" t="s">
        <v>72</v>
      </c>
      <c r="F333" s="6"/>
      <c r="G333" s="6" t="s">
        <v>14</v>
      </c>
      <c r="H333" s="7" t="n">
        <v>43138.1254563542</v>
      </c>
      <c r="I333" s="8" t="n">
        <v>43138.1254563542</v>
      </c>
      <c r="J333" s="7" t="n">
        <v>43133.6233867824</v>
      </c>
      <c r="K333" s="8" t="n">
        <v>43133.6233867824</v>
      </c>
      <c r="L333" s="6" t="s">
        <v>15</v>
      </c>
      <c r="M333" s="6"/>
      <c r="N333" s="6"/>
      <c r="O333" s="6"/>
      <c r="P333" s="6" t="s">
        <v>16</v>
      </c>
      <c r="Q333" s="0" t="n">
        <f>TODAY()-j333</f>
        <v>136.37661321760243</v>
      </c>
      <c r="R333" t="str">
        <f>VLOOKUP(A333,'Last Week'!A4:I397,7,FALSE)</f>
        <v>CLOSED</v>
      </c>
    </row>
    <row collapsed="false" customFormat="false" customHeight="true" hidden="false" ht="23.85" outlineLevel="0" r="334">
      <c r="A334" s="6" t="s">
        <v>814</v>
      </c>
      <c r="B334" s="6" t="s">
        <v>312</v>
      </c>
      <c r="C334" s="6"/>
      <c r="D334" s="6" t="s">
        <v>54</v>
      </c>
      <c r="E334" s="6" t="s">
        <v>28</v>
      </c>
      <c r="F334" s="6"/>
      <c r="G334" s="6" t="s">
        <v>14</v>
      </c>
      <c r="H334" s="7" t="n">
        <v>43136.7917663079</v>
      </c>
      <c r="I334" s="8" t="n">
        <v>43136.7917663079</v>
      </c>
      <c r="J334" s="7" t="n">
        <v>43133.9341687037</v>
      </c>
      <c r="K334" s="8" t="n">
        <v>43133.9341687037</v>
      </c>
      <c r="L334" s="6" t="s">
        <v>15</v>
      </c>
      <c r="M334" s="6"/>
      <c r="N334" s="6"/>
      <c r="O334" s="6"/>
      <c r="P334" s="6" t="s">
        <v>58</v>
      </c>
      <c r="Q334" s="0" t="n">
        <f>TODAY()-j334</f>
        <v>136.0658312962987</v>
      </c>
      <c r="R334" t="str">
        <f>VLOOKUP(A334,'Last Week'!A4:I397,7,FALSE)</f>
        <v>CLOSED</v>
      </c>
    </row>
    <row collapsed="false" customFormat="false" customHeight="true" hidden="false" ht="23.85" outlineLevel="0" r="335">
      <c r="A335" s="6" t="s">
        <v>815</v>
      </c>
      <c r="B335" s="6" t="s">
        <v>310</v>
      </c>
      <c r="C335" s="6"/>
      <c r="D335" s="6" t="s">
        <v>54</v>
      </c>
      <c r="E335" s="6" t="s">
        <v>28</v>
      </c>
      <c r="F335" s="6"/>
      <c r="G335" s="6" t="s">
        <v>14</v>
      </c>
      <c r="H335" s="7" t="n">
        <v>43140.1253261574</v>
      </c>
      <c r="I335" s="8" t="n">
        <v>43140.1253261574</v>
      </c>
      <c r="J335" s="7" t="n">
        <v>43133.9356242477</v>
      </c>
      <c r="K335" s="8" t="n">
        <v>43133.9356242477</v>
      </c>
      <c r="L335" s="6" t="s">
        <v>15</v>
      </c>
      <c r="M335" s="6"/>
      <c r="N335" s="6"/>
      <c r="O335" s="6"/>
      <c r="P335" s="6" t="s">
        <v>16</v>
      </c>
      <c r="Q335" s="0" t="n">
        <f>TODAY()-j335</f>
        <v>136.06437575229938</v>
      </c>
      <c r="R335" t="str">
        <f>VLOOKUP(A335,'Last Week'!A4:I397,7,FALSE)</f>
        <v>CLOSED</v>
      </c>
    </row>
    <row collapsed="false" customFormat="false" customHeight="true" hidden="false" ht="23.85" outlineLevel="0" r="336">
      <c r="A336" s="6" t="s">
        <v>816</v>
      </c>
      <c r="B336" s="6" t="s">
        <v>817</v>
      </c>
      <c r="C336" s="6"/>
      <c r="D336" s="6" t="s">
        <v>818</v>
      </c>
      <c r="E336" s="6" t="s">
        <v>37</v>
      </c>
      <c r="F336" s="6"/>
      <c r="G336" s="6" t="s">
        <v>14</v>
      </c>
      <c r="H336" s="7" t="n">
        <v>43140.1312988426</v>
      </c>
      <c r="I336" s="8" t="n">
        <v>43140.1312988426</v>
      </c>
      <c r="J336" s="7" t="n">
        <v>43136.6012780556</v>
      </c>
      <c r="K336" s="8" t="n">
        <v>43136.6012780556</v>
      </c>
      <c r="L336" s="6" t="s">
        <v>15</v>
      </c>
      <c r="M336" s="6"/>
      <c r="N336" s="6"/>
      <c r="O336" s="6"/>
      <c r="P336" s="6" t="s">
        <v>16</v>
      </c>
      <c r="Q336" s="0" t="n">
        <f>TODAY()-j336</f>
        <v>133.3987219444025</v>
      </c>
      <c r="R336" t="str">
        <f>VLOOKUP(A336,'Last Week'!A4:I397,7,FALSE)</f>
        <v>CLOSED</v>
      </c>
    </row>
    <row collapsed="false" customFormat="false" customHeight="true" hidden="false" ht="35.05" outlineLevel="0" r="337">
      <c r="A337" s="6" t="s">
        <v>819</v>
      </c>
      <c r="B337" s="6" t="s">
        <v>820</v>
      </c>
      <c r="C337" s="6"/>
      <c r="D337" s="6" t="s">
        <v>487</v>
      </c>
      <c r="E337" s="6" t="s">
        <v>81</v>
      </c>
      <c r="F337" s="6"/>
      <c r="G337" s="6" t="s">
        <v>14</v>
      </c>
      <c r="H337" s="7" t="n">
        <v>43140.1313026968</v>
      </c>
      <c r="I337" s="8" t="n">
        <v>43140.1313026968</v>
      </c>
      <c r="J337" s="7" t="n">
        <v>43136.6537459491</v>
      </c>
      <c r="K337" s="8" t="n">
        <v>43136.6537459491</v>
      </c>
      <c r="L337" s="6" t="s">
        <v>15</v>
      </c>
      <c r="M337" s="6"/>
      <c r="N337" s="6"/>
      <c r="O337" s="6"/>
      <c r="P337" s="6" t="s">
        <v>16</v>
      </c>
      <c r="Q337" s="0" t="n">
        <f>TODAY()-j337</f>
        <v>133.346254050899</v>
      </c>
      <c r="R337" t="str">
        <f>VLOOKUP(A337,'Last Week'!A4:I397,7,FALSE)</f>
        <v>CLOSED</v>
      </c>
    </row>
    <row collapsed="false" customFormat="false" customHeight="true" hidden="false" ht="23.85" outlineLevel="0" r="338">
      <c r="A338" s="6" t="s">
        <v>821</v>
      </c>
      <c r="B338" s="6" t="s">
        <v>163</v>
      </c>
      <c r="C338" s="6"/>
      <c r="D338" s="6" t="s">
        <v>164</v>
      </c>
      <c r="E338" s="6" t="s">
        <v>215</v>
      </c>
      <c r="F338" s="6"/>
      <c r="G338" s="6" t="s">
        <v>14</v>
      </c>
      <c r="H338" s="7" t="n">
        <v>43140.1255058681</v>
      </c>
      <c r="I338" s="8" t="n">
        <v>43140.1255058681</v>
      </c>
      <c r="J338" s="7" t="n">
        <v>43137.3799535995</v>
      </c>
      <c r="K338" s="8" t="n">
        <v>43137.3799535995</v>
      </c>
      <c r="L338" s="6" t="s">
        <v>15</v>
      </c>
      <c r="M338" s="6"/>
      <c r="N338" s="6"/>
      <c r="O338" s="6"/>
      <c r="P338" s="6" t="s">
        <v>16</v>
      </c>
      <c r="Q338" s="0" t="n">
        <f>TODAY()-j338</f>
        <v>132.62004640050145</v>
      </c>
      <c r="R338" t="str">
        <f>VLOOKUP(A338,'Last Week'!A4:I397,7,FALSE)</f>
        <v>CLOSED</v>
      </c>
    </row>
    <row collapsed="false" customFormat="false" customHeight="true" hidden="false" ht="23.85" outlineLevel="0" r="339">
      <c r="A339" s="6" t="s">
        <v>822</v>
      </c>
      <c r="B339" s="6" t="s">
        <v>823</v>
      </c>
      <c r="C339" s="6"/>
      <c r="D339" s="6" t="s">
        <v>824</v>
      </c>
      <c r="E339" s="6" t="s">
        <v>824</v>
      </c>
      <c r="F339" s="6"/>
      <c r="G339" s="6" t="s">
        <v>14</v>
      </c>
      <c r="H339" s="7" t="n">
        <v>43147.1667748843</v>
      </c>
      <c r="I339" s="8" t="n">
        <v>43147.1667748843</v>
      </c>
      <c r="J339" s="7" t="n">
        <v>43139.7425323033</v>
      </c>
      <c r="K339" s="8" t="n">
        <v>43139.7425323033</v>
      </c>
      <c r="L339" s="6" t="s">
        <v>15</v>
      </c>
      <c r="M339" s="6"/>
      <c r="N339" s="6"/>
      <c r="O339" s="6"/>
      <c r="P339" s="6" t="s">
        <v>16</v>
      </c>
      <c r="Q339" s="0" t="n">
        <f>TODAY()-j339</f>
        <v>130.25746769669786</v>
      </c>
      <c r="R339" t="str">
        <f>VLOOKUP(A339,'Last Week'!A4:I397,7,FALSE)</f>
        <v>CLOSED</v>
      </c>
    </row>
    <row collapsed="false" customFormat="false" customHeight="true" hidden="false" ht="35.05" outlineLevel="0" r="340">
      <c r="A340" s="6" t="s">
        <v>825</v>
      </c>
      <c r="B340" s="6" t="s">
        <v>826</v>
      </c>
      <c r="C340" s="6"/>
      <c r="D340" s="6" t="s">
        <v>154</v>
      </c>
      <c r="E340" s="6" t="s">
        <v>72</v>
      </c>
      <c r="F340" s="6"/>
      <c r="G340" s="6" t="s">
        <v>14</v>
      </c>
      <c r="H340" s="7" t="n">
        <v>43167.1254843519</v>
      </c>
      <c r="I340" s="8" t="n">
        <v>43167.1254843519</v>
      </c>
      <c r="J340" s="7" t="n">
        <v>43145.6019885995</v>
      </c>
      <c r="K340" s="8" t="n">
        <v>43145.6019885995</v>
      </c>
      <c r="L340" s="6" t="s">
        <v>15</v>
      </c>
      <c r="M340" s="6"/>
      <c r="N340" s="6"/>
      <c r="O340" s="6"/>
      <c r="P340" s="6" t="s">
        <v>16</v>
      </c>
      <c r="Q340" s="0" t="n">
        <f>TODAY()-j340</f>
        <v>124.39801140050258</v>
      </c>
      <c r="R340" t="str">
        <f>VLOOKUP(A340,'Last Week'!A4:I397,7,FALSE)</f>
        <v>CLOSED</v>
      </c>
    </row>
    <row collapsed="false" customFormat="false" customHeight="true" hidden="false" ht="23.85" outlineLevel="0" r="341">
      <c r="A341" s="6" t="s">
        <v>827</v>
      </c>
      <c r="B341" s="6" t="s">
        <v>828</v>
      </c>
      <c r="C341" s="6"/>
      <c r="D341" s="6" t="s">
        <v>829</v>
      </c>
      <c r="E341" s="6" t="s">
        <v>241</v>
      </c>
      <c r="F341" s="6"/>
      <c r="G341" s="6" t="s">
        <v>14</v>
      </c>
      <c r="H341" s="7" t="n">
        <v>43152.1317060764</v>
      </c>
      <c r="I341" s="8" t="n">
        <v>43152.1317060764</v>
      </c>
      <c r="J341" s="7" t="n">
        <v>43147.7039835764</v>
      </c>
      <c r="K341" s="8" t="n">
        <v>43147.7039835764</v>
      </c>
      <c r="L341" s="6" t="s">
        <v>15</v>
      </c>
      <c r="M341" s="6"/>
      <c r="N341" s="6"/>
      <c r="O341" s="6"/>
      <c r="P341" s="6" t="s">
        <v>16</v>
      </c>
      <c r="Q341" s="0" t="n">
        <f>TODAY()-j341</f>
        <v>122.29601642359921</v>
      </c>
      <c r="R341" t="str">
        <f>VLOOKUP(A341,'Last Week'!A4:I397,7,FALSE)</f>
        <v>CLOSED</v>
      </c>
    </row>
    <row collapsed="false" customFormat="false" customHeight="true" hidden="false" ht="23.85" outlineLevel="0" r="342">
      <c r="A342" s="6" t="s">
        <v>830</v>
      </c>
      <c r="B342" s="6" t="s">
        <v>831</v>
      </c>
      <c r="C342" s="6"/>
      <c r="D342" s="6" t="s">
        <v>832</v>
      </c>
      <c r="E342" s="6" t="s">
        <v>115</v>
      </c>
      <c r="F342" s="6"/>
      <c r="G342" s="6" t="s">
        <v>14</v>
      </c>
      <c r="H342" s="7" t="n">
        <v>43154.1664007755</v>
      </c>
      <c r="I342" s="8" t="n">
        <v>43154.1664007755</v>
      </c>
      <c r="J342" s="7" t="n">
        <v>43151.5464339005</v>
      </c>
      <c r="K342" s="8" t="n">
        <v>43151.5464339005</v>
      </c>
      <c r="L342" s="6" t="s">
        <v>15</v>
      </c>
      <c r="M342" s="6"/>
      <c r="N342" s="6"/>
      <c r="O342" s="6"/>
      <c r="P342" s="6" t="s">
        <v>16</v>
      </c>
      <c r="Q342" s="0" t="n">
        <f>TODAY()-j342</f>
        <v>118.4535660995025</v>
      </c>
      <c r="R342" t="str">
        <f>VLOOKUP(A342,'Last Week'!A4:I397,7,FALSE)</f>
        <v>CLOSED</v>
      </c>
    </row>
    <row collapsed="false" customFormat="false" customHeight="true" hidden="false" ht="35.05" outlineLevel="0" r="343">
      <c r="A343" s="6" t="s">
        <v>833</v>
      </c>
      <c r="B343" s="6" t="s">
        <v>834</v>
      </c>
      <c r="C343" s="6"/>
      <c r="D343" s="6" t="s">
        <v>154</v>
      </c>
      <c r="E343" s="6" t="s">
        <v>72</v>
      </c>
      <c r="F343" s="6"/>
      <c r="G343" s="6" t="s">
        <v>14</v>
      </c>
      <c r="H343" s="7" t="n">
        <v>43167.1255563773</v>
      </c>
      <c r="I343" s="8" t="n">
        <v>43167.1255563773</v>
      </c>
      <c r="J343" s="7" t="n">
        <v>43152.5401641667</v>
      </c>
      <c r="K343" s="8" t="n">
        <v>43152.5401641667</v>
      </c>
      <c r="L343" s="6" t="s">
        <v>15</v>
      </c>
      <c r="M343" s="6"/>
      <c r="N343" s="6"/>
      <c r="O343" s="6"/>
      <c r="P343" s="6" t="s">
        <v>16</v>
      </c>
      <c r="Q343" s="0" t="n">
        <f>TODAY()-j343</f>
        <v>117.45983583330235</v>
      </c>
      <c r="R343" t="str">
        <f>VLOOKUP(A343,'Last Week'!A4:I397,7,FALSE)</f>
        <v>CLOSED</v>
      </c>
    </row>
    <row collapsed="false" customFormat="false" customHeight="true" hidden="false" ht="35.05" outlineLevel="0" r="344">
      <c r="A344" s="6" t="s">
        <v>835</v>
      </c>
      <c r="B344" s="6" t="s">
        <v>836</v>
      </c>
      <c r="C344" s="6"/>
      <c r="D344" s="6" t="s">
        <v>164</v>
      </c>
      <c r="E344" s="6" t="s">
        <v>215</v>
      </c>
      <c r="F344" s="6"/>
      <c r="G344" s="6" t="s">
        <v>14</v>
      </c>
      <c r="H344" s="7" t="n">
        <v>43161.1668740278</v>
      </c>
      <c r="I344" s="8" t="n">
        <v>43161.1668740278</v>
      </c>
      <c r="J344" s="7" t="n">
        <v>43154.3654158102</v>
      </c>
      <c r="K344" s="8" t="n">
        <v>43154.3654158102</v>
      </c>
      <c r="L344" s="6" t="s">
        <v>15</v>
      </c>
      <c r="M344" s="6"/>
      <c r="N344" s="6"/>
      <c r="O344" s="6"/>
      <c r="P344" s="6" t="s">
        <v>16</v>
      </c>
      <c r="Q344" s="0" t="n">
        <f>TODAY()-j344</f>
        <v>115.63458418980008</v>
      </c>
      <c r="R344" t="str">
        <f>VLOOKUP(A344,'Last Week'!A4:I397,7,FALSE)</f>
        <v>CLOSED</v>
      </c>
    </row>
    <row collapsed="false" customFormat="false" customHeight="true" hidden="false" ht="46.25" outlineLevel="0" r="345">
      <c r="A345" s="6" t="s">
        <v>837</v>
      </c>
      <c r="B345" s="6" t="s">
        <v>838</v>
      </c>
      <c r="C345" s="6"/>
      <c r="D345" s="6" t="s">
        <v>479</v>
      </c>
      <c r="E345" s="6" t="s">
        <v>479</v>
      </c>
      <c r="F345" s="6"/>
      <c r="G345" s="6" t="s">
        <v>14</v>
      </c>
      <c r="H345" s="7" t="n">
        <v>43162.1255053935</v>
      </c>
      <c r="I345" s="8" t="n">
        <v>43162.1255053935</v>
      </c>
      <c r="J345" s="7" t="n">
        <v>43157.4737552662</v>
      </c>
      <c r="K345" s="8" t="n">
        <v>43157.4737552662</v>
      </c>
      <c r="L345" s="6" t="s">
        <v>15</v>
      </c>
      <c r="M345" s="6"/>
      <c r="N345" s="6"/>
      <c r="O345" s="6"/>
      <c r="P345" s="6" t="s">
        <v>16</v>
      </c>
      <c r="Q345" s="0" t="n">
        <f>TODAY()-j345</f>
        <v>112.52624473380274</v>
      </c>
      <c r="R345" t="str">
        <f>VLOOKUP(A345,'Last Week'!A4:I397,7,FALSE)</f>
        <v>CLOSED</v>
      </c>
    </row>
    <row collapsed="false" customFormat="false" customHeight="true" hidden="false" ht="35.05" outlineLevel="0" r="346">
      <c r="A346" s="6" t="s">
        <v>839</v>
      </c>
      <c r="B346" s="6" t="s">
        <v>840</v>
      </c>
      <c r="C346" s="6"/>
      <c r="D346" s="6" t="s">
        <v>841</v>
      </c>
      <c r="E346" s="6" t="s">
        <v>841</v>
      </c>
      <c r="F346" s="6"/>
      <c r="G346" s="6" t="s">
        <v>14</v>
      </c>
      <c r="H346" s="7" t="n">
        <v>43161.1668780787</v>
      </c>
      <c r="I346" s="8" t="n">
        <v>43161.1668780787</v>
      </c>
      <c r="J346" s="7" t="n">
        <v>43158.4208684028</v>
      </c>
      <c r="K346" s="8" t="n">
        <v>43158.4208684028</v>
      </c>
      <c r="L346" s="6" t="s">
        <v>15</v>
      </c>
      <c r="M346" s="6"/>
      <c r="N346" s="6"/>
      <c r="O346" s="6"/>
      <c r="P346" s="6" t="s">
        <v>16</v>
      </c>
      <c r="Q346" s="0" t="n">
        <f>TODAY()-j346</f>
        <v>111.57913159720192</v>
      </c>
      <c r="R346" t="str">
        <f>VLOOKUP(A346,'Last Week'!A4:I397,7,FALSE)</f>
        <v>CLOSED</v>
      </c>
    </row>
    <row collapsed="false" customFormat="false" customHeight="true" hidden="false" ht="35.05" outlineLevel="0" r="347">
      <c r="A347" s="6" t="s">
        <v>842</v>
      </c>
      <c r="B347" s="6" t="s">
        <v>843</v>
      </c>
      <c r="C347" s="6"/>
      <c r="D347" s="6" t="s">
        <v>54</v>
      </c>
      <c r="E347" s="6" t="s">
        <v>72</v>
      </c>
      <c r="F347" s="6"/>
      <c r="G347" s="6" t="s">
        <v>14</v>
      </c>
      <c r="H347" s="7" t="n">
        <v>43167.1670918634</v>
      </c>
      <c r="I347" s="8" t="n">
        <v>43167.1670918634</v>
      </c>
      <c r="J347" s="7" t="n">
        <v>43164.4703506597</v>
      </c>
      <c r="K347" s="8" t="n">
        <v>43164.4703506597</v>
      </c>
      <c r="L347" s="6" t="s">
        <v>15</v>
      </c>
      <c r="M347" s="6"/>
      <c r="N347" s="6"/>
      <c r="O347" s="6"/>
      <c r="P347" s="6" t="s">
        <v>16</v>
      </c>
      <c r="Q347" s="0" t="n">
        <f>TODAY()-j347</f>
        <v>105.52964934030024</v>
      </c>
      <c r="R347" t="str">
        <f>VLOOKUP(A347,'Last Week'!A4:I397,7,FALSE)</f>
        <v>CLOSED</v>
      </c>
    </row>
    <row collapsed="false" customFormat="false" customHeight="true" hidden="false" ht="35.05" outlineLevel="0" r="348">
      <c r="A348" s="6" t="s">
        <v>844</v>
      </c>
      <c r="B348" s="6" t="s">
        <v>845</v>
      </c>
      <c r="C348" s="6"/>
      <c r="D348" s="6" t="s">
        <v>54</v>
      </c>
      <c r="E348" s="6" t="s">
        <v>72</v>
      </c>
      <c r="F348" s="6"/>
      <c r="G348" s="6" t="s">
        <v>14</v>
      </c>
      <c r="H348" s="7" t="n">
        <v>43167.125759838</v>
      </c>
      <c r="I348" s="8" t="n">
        <v>43167.125759838</v>
      </c>
      <c r="J348" s="7" t="n">
        <v>43164.47171375</v>
      </c>
      <c r="K348" s="8" t="n">
        <v>43164.47171375</v>
      </c>
      <c r="L348" s="6" t="s">
        <v>15</v>
      </c>
      <c r="M348" s="6"/>
      <c r="N348" s="6"/>
      <c r="O348" s="6"/>
      <c r="P348" s="6" t="s">
        <v>58</v>
      </c>
      <c r="Q348" s="0" t="n">
        <f>TODAY()-j348</f>
        <v>105.52828625000257</v>
      </c>
      <c r="R348" t="str">
        <f>VLOOKUP(A348,'Last Week'!A4:I397,7,FALSE)</f>
        <v>CLOSED</v>
      </c>
    </row>
    <row collapsed="false" customFormat="false" customHeight="true" hidden="false" ht="35.05" outlineLevel="0" r="349">
      <c r="A349" s="6" t="s">
        <v>846</v>
      </c>
      <c r="B349" s="6" t="s">
        <v>847</v>
      </c>
      <c r="C349" s="6"/>
      <c r="D349" s="6" t="s">
        <v>164</v>
      </c>
      <c r="E349" s="6" t="s">
        <v>126</v>
      </c>
      <c r="F349" s="6"/>
      <c r="G349" s="6" t="s">
        <v>848</v>
      </c>
      <c r="H349" s="7" t="n">
        <v>43165.4883581134</v>
      </c>
      <c r="I349" s="8" t="n">
        <v>43165.4883581134</v>
      </c>
      <c r="J349" s="7" t="n">
        <v>43165.4871140972</v>
      </c>
      <c r="K349" s="8" t="n">
        <v>43165.4871140972</v>
      </c>
      <c r="L349" s="6" t="s">
        <v>15</v>
      </c>
      <c r="M349" s="6"/>
      <c r="N349" s="6"/>
      <c r="O349" s="6"/>
      <c r="P349" s="6"/>
      <c r="Q349" s="0" t="n">
        <f>TODAY()-j349</f>
        <v>104.51288590279728</v>
      </c>
      <c r="R349" t="str">
        <f>VLOOKUP(A349,'Last Week'!A4:I397,7,FALSE)</f>
        <v>QUEUED</v>
      </c>
    </row>
    <row collapsed="false" customFormat="false" customHeight="true" hidden="false" ht="23.85" outlineLevel="0" r="350">
      <c r="A350" s="6" t="s">
        <v>849</v>
      </c>
      <c r="B350" s="6" t="s">
        <v>347</v>
      </c>
      <c r="C350" s="6"/>
      <c r="D350" s="6" t="s">
        <v>799</v>
      </c>
      <c r="E350" s="6" t="s">
        <v>799</v>
      </c>
      <c r="F350" s="6"/>
      <c r="G350" s="6" t="s">
        <v>14</v>
      </c>
      <c r="H350" s="7" t="n">
        <v>43204.0840100579</v>
      </c>
      <c r="I350" s="8" t="n">
        <v>43204.0840100579</v>
      </c>
      <c r="J350" s="7" t="n">
        <v>43167.5905604051</v>
      </c>
      <c r="K350" s="8" t="n">
        <v>43167.5905604051</v>
      </c>
      <c r="L350" s="6" t="s">
        <v>15</v>
      </c>
      <c r="M350" s="6"/>
      <c r="N350" s="6"/>
      <c r="O350" s="6"/>
      <c r="P350" s="6" t="s">
        <v>16</v>
      </c>
      <c r="Q350" s="0" t="n">
        <f>TODAY()-j350</f>
        <v>102.4094395948996</v>
      </c>
      <c r="R350" t="str">
        <f>VLOOKUP(A350,'Last Week'!A4:I397,7,FALSE)</f>
        <v>CLOSED</v>
      </c>
    </row>
    <row collapsed="false" customFormat="false" customHeight="true" hidden="false" ht="23.85" outlineLevel="0" r="351">
      <c r="A351" s="6" t="s">
        <v>850</v>
      </c>
      <c r="B351" s="6" t="s">
        <v>851</v>
      </c>
      <c r="C351" s="6"/>
      <c r="D351" s="6" t="s">
        <v>154</v>
      </c>
      <c r="E351" s="6" t="s">
        <v>55</v>
      </c>
      <c r="F351" s="6"/>
      <c r="G351" s="6" t="s">
        <v>14</v>
      </c>
      <c r="H351" s="7" t="n">
        <v>43229.1251662847</v>
      </c>
      <c r="I351" s="8" t="n">
        <v>43229.1251662847</v>
      </c>
      <c r="J351" s="7" t="n">
        <v>43167.7147624537</v>
      </c>
      <c r="K351" s="8" t="n">
        <v>43167.7147624537</v>
      </c>
      <c r="L351" s="6" t="s">
        <v>15</v>
      </c>
      <c r="M351" s="6"/>
      <c r="N351" s="6"/>
      <c r="O351" s="6"/>
      <c r="P351" s="6" t="s">
        <v>16</v>
      </c>
      <c r="Q351" s="0" t="n">
        <f>TODAY()-j351</f>
        <v>102.28523754629714</v>
      </c>
      <c r="R351" t="str">
        <f>VLOOKUP(A351,'Last Week'!A4:I397,7,FALSE)</f>
        <v>CLOSED</v>
      </c>
    </row>
    <row collapsed="false" customFormat="false" customHeight="true" hidden="false" ht="35.05" outlineLevel="0" r="352">
      <c r="A352" s="6" t="s">
        <v>852</v>
      </c>
      <c r="B352" s="6" t="s">
        <v>853</v>
      </c>
      <c r="C352" s="6"/>
      <c r="D352" s="6" t="s">
        <v>854</v>
      </c>
      <c r="E352" s="6" t="s">
        <v>28</v>
      </c>
      <c r="F352" s="6"/>
      <c r="G352" s="6" t="s">
        <v>14</v>
      </c>
      <c r="H352" s="7" t="n">
        <v>43175.0847371991</v>
      </c>
      <c r="I352" s="8" t="n">
        <v>43175.0847371991</v>
      </c>
      <c r="J352" s="7" t="n">
        <v>43167.8722730324</v>
      </c>
      <c r="K352" s="8" t="n">
        <v>43167.8722730324</v>
      </c>
      <c r="L352" s="6" t="s">
        <v>15</v>
      </c>
      <c r="M352" s="6"/>
      <c r="N352" s="6"/>
      <c r="O352" s="6"/>
      <c r="P352" s="6" t="s">
        <v>58</v>
      </c>
      <c r="Q352" s="0" t="n">
        <f>TODAY()-j352</f>
        <v>102.1277269675993</v>
      </c>
      <c r="R352" t="str">
        <f>VLOOKUP(A352,'Last Week'!A4:I397,7,FALSE)</f>
        <v>CLOSED</v>
      </c>
    </row>
    <row collapsed="false" customFormat="false" customHeight="true" hidden="false" ht="23.85" outlineLevel="0" r="353">
      <c r="A353" s="6" t="s">
        <v>855</v>
      </c>
      <c r="B353" s="6" t="s">
        <v>856</v>
      </c>
      <c r="C353" s="6"/>
      <c r="D353" s="6" t="s">
        <v>857</v>
      </c>
      <c r="E353" s="6" t="s">
        <v>28</v>
      </c>
      <c r="F353" s="6"/>
      <c r="G353" s="6" t="s">
        <v>14</v>
      </c>
      <c r="H353" s="7" t="n">
        <v>43204.0852761343</v>
      </c>
      <c r="I353" s="8" t="n">
        <v>43204.0852761343</v>
      </c>
      <c r="J353" s="7" t="n">
        <v>43171.857279456</v>
      </c>
      <c r="K353" s="8" t="n">
        <v>43171.857279456</v>
      </c>
      <c r="L353" s="6" t="s">
        <v>15</v>
      </c>
      <c r="M353" s="6"/>
      <c r="N353" s="6"/>
      <c r="O353" s="6"/>
      <c r="P353" s="6" t="s">
        <v>16</v>
      </c>
      <c r="Q353" s="0" t="n">
        <f>TODAY()-j353</f>
        <v>98.14272054399771</v>
      </c>
      <c r="R353" t="str">
        <f>VLOOKUP(A353,'Last Week'!A4:I397,7,FALSE)</f>
        <v>CLOSED</v>
      </c>
    </row>
    <row collapsed="false" customFormat="false" customHeight="true" hidden="false" ht="57.45" outlineLevel="0" r="354">
      <c r="A354" s="6" t="s">
        <v>858</v>
      </c>
      <c r="B354" s="6" t="s">
        <v>859</v>
      </c>
      <c r="C354" s="6"/>
      <c r="D354" s="6" t="s">
        <v>479</v>
      </c>
      <c r="E354" s="6" t="s">
        <v>13</v>
      </c>
      <c r="F354" s="6"/>
      <c r="G354" s="6" t="s">
        <v>14</v>
      </c>
      <c r="H354" s="7" t="n">
        <v>43203.7481255556</v>
      </c>
      <c r="I354" s="8" t="n">
        <v>43203.7481255556</v>
      </c>
      <c r="J354" s="7" t="n">
        <v>43174.4796704514</v>
      </c>
      <c r="K354" s="8" t="n">
        <v>43174.4796704514</v>
      </c>
      <c r="L354" s="6" t="s">
        <v>15</v>
      </c>
      <c r="M354" s="6"/>
      <c r="N354" s="6"/>
      <c r="O354" s="6"/>
      <c r="P354" s="6" t="s">
        <v>58</v>
      </c>
      <c r="Q354" s="0" t="n">
        <f>TODAY()-j354</f>
        <v>95.52032954859897</v>
      </c>
      <c r="R354" t="str">
        <f>VLOOKUP(A354,'Last Week'!A4:I397,7,FALSE)</f>
        <v>CLOSED</v>
      </c>
    </row>
    <row collapsed="false" customFormat="false" customHeight="true" hidden="false" ht="23.85" outlineLevel="0" r="355">
      <c r="A355" s="6" t="s">
        <v>860</v>
      </c>
      <c r="B355" s="6" t="s">
        <v>861</v>
      </c>
      <c r="C355" s="6"/>
      <c r="D355" s="6" t="s">
        <v>862</v>
      </c>
      <c r="E355" s="6" t="s">
        <v>277</v>
      </c>
      <c r="F355" s="6"/>
      <c r="G355" s="6" t="s">
        <v>14</v>
      </c>
      <c r="H355" s="7" t="n">
        <v>43184.9171156944</v>
      </c>
      <c r="I355" s="8" t="n">
        <v>43184.9171156944</v>
      </c>
      <c r="J355" s="7" t="n">
        <v>43178.4012788426</v>
      </c>
      <c r="K355" s="8" t="n">
        <v>43178.4012788426</v>
      </c>
      <c r="L355" s="6" t="s">
        <v>15</v>
      </c>
      <c r="M355" s="6"/>
      <c r="N355" s="6"/>
      <c r="O355" s="6"/>
      <c r="P355" s="6" t="s">
        <v>16</v>
      </c>
      <c r="Q355" s="0" t="n">
        <f>TODAY()-j355</f>
        <v>91.5987211574029</v>
      </c>
      <c r="R355" t="str">
        <f>VLOOKUP(A355,'Last Week'!A4:I397,7,FALSE)</f>
        <v>CLOSED</v>
      </c>
    </row>
    <row collapsed="false" customFormat="false" customHeight="true" hidden="false" ht="23.85" outlineLevel="0" r="356">
      <c r="A356" s="6" t="s">
        <v>863</v>
      </c>
      <c r="B356" s="6" t="s">
        <v>864</v>
      </c>
      <c r="C356" s="6"/>
      <c r="D356" s="6" t="s">
        <v>154</v>
      </c>
      <c r="E356" s="6" t="s">
        <v>55</v>
      </c>
      <c r="F356" s="6"/>
      <c r="G356" s="6" t="s">
        <v>14</v>
      </c>
      <c r="H356" s="7" t="n">
        <v>43204.0852786343</v>
      </c>
      <c r="I356" s="8" t="n">
        <v>43204.0852786343</v>
      </c>
      <c r="J356" s="7" t="n">
        <v>43178.549112662</v>
      </c>
      <c r="K356" s="8" t="n">
        <v>43178.549112662</v>
      </c>
      <c r="L356" s="6" t="s">
        <v>15</v>
      </c>
      <c r="M356" s="6"/>
      <c r="N356" s="6"/>
      <c r="O356" s="6"/>
      <c r="P356" s="6" t="s">
        <v>16</v>
      </c>
      <c r="Q356" s="0" t="n">
        <f>TODAY()-j356</f>
        <v>91.45088733799639</v>
      </c>
      <c r="R356" t="str">
        <f>VLOOKUP(A356,'Last Week'!A4:I397,7,FALSE)</f>
        <v>CLOSED</v>
      </c>
    </row>
    <row collapsed="false" customFormat="false" customHeight="true" hidden="false" ht="23.85" outlineLevel="0" r="357">
      <c r="A357" s="6" t="s">
        <v>865</v>
      </c>
      <c r="B357" s="6" t="s">
        <v>866</v>
      </c>
      <c r="C357" s="6"/>
      <c r="D357" s="6" t="s">
        <v>556</v>
      </c>
      <c r="E357" s="6" t="s">
        <v>183</v>
      </c>
      <c r="F357" s="6"/>
      <c r="G357" s="6" t="s">
        <v>14</v>
      </c>
      <c r="H357" s="7" t="n">
        <v>43209.0855940046</v>
      </c>
      <c r="I357" s="8" t="n">
        <v>43209.0855940046</v>
      </c>
      <c r="J357" s="7" t="n">
        <v>43179.3983123032</v>
      </c>
      <c r="K357" s="8" t="n">
        <v>43179.3983123032</v>
      </c>
      <c r="L357" s="6" t="s">
        <v>15</v>
      </c>
      <c r="M357" s="6"/>
      <c r="N357" s="6"/>
      <c r="O357" s="6"/>
      <c r="P357" s="6" t="s">
        <v>58</v>
      </c>
      <c r="Q357" s="0" t="n">
        <f>TODAY()-j357</f>
        <v>90.60168769679876</v>
      </c>
      <c r="R357" t="str">
        <f>VLOOKUP(A357,'Last Week'!A4:I397,7,FALSE)</f>
        <v>CLOSED</v>
      </c>
    </row>
    <row collapsed="false" customFormat="false" customHeight="true" hidden="false" ht="35.05" outlineLevel="0" r="358">
      <c r="A358" s="6" t="s">
        <v>867</v>
      </c>
      <c r="B358" s="6" t="s">
        <v>868</v>
      </c>
      <c r="C358" s="6"/>
      <c r="D358" s="6" t="s">
        <v>869</v>
      </c>
      <c r="E358" s="6" t="s">
        <v>28</v>
      </c>
      <c r="F358" s="6"/>
      <c r="G358" s="6" t="s">
        <v>14</v>
      </c>
      <c r="H358" s="7" t="n">
        <v>43196.0839101968</v>
      </c>
      <c r="I358" s="8" t="n">
        <v>43196.0839101968</v>
      </c>
      <c r="J358" s="7" t="n">
        <v>43180.8518047222</v>
      </c>
      <c r="K358" s="8" t="n">
        <v>43180.8518047222</v>
      </c>
      <c r="L358" s="6" t="s">
        <v>15</v>
      </c>
      <c r="M358" s="6"/>
      <c r="N358" s="6"/>
      <c r="O358" s="6"/>
      <c r="P358" s="6" t="s">
        <v>58</v>
      </c>
      <c r="Q358" s="0" t="n">
        <f>TODAY()-j358</f>
        <v>89.14819527779764</v>
      </c>
      <c r="R358" t="str">
        <f>VLOOKUP(A358,'Last Week'!A4:I397,7,FALSE)</f>
        <v>CLOSED</v>
      </c>
    </row>
    <row collapsed="false" customFormat="false" customHeight="true" hidden="false" ht="23.85" outlineLevel="0" r="359">
      <c r="A359" s="6" t="s">
        <v>870</v>
      </c>
      <c r="B359" s="6" t="s">
        <v>871</v>
      </c>
      <c r="C359" s="6"/>
      <c r="D359" s="6" t="s">
        <v>154</v>
      </c>
      <c r="E359" s="6" t="s">
        <v>72</v>
      </c>
      <c r="F359" s="6"/>
      <c r="G359" s="6" t="s">
        <v>14</v>
      </c>
      <c r="H359" s="7" t="n">
        <v>43204.085279919</v>
      </c>
      <c r="I359" s="8" t="n">
        <v>43204.085279919</v>
      </c>
      <c r="J359" s="7" t="n">
        <v>43182.4084233449</v>
      </c>
      <c r="K359" s="8" t="n">
        <v>43182.4084233449</v>
      </c>
      <c r="L359" s="6" t="s">
        <v>15</v>
      </c>
      <c r="M359" s="6"/>
      <c r="N359" s="6"/>
      <c r="O359" s="6"/>
      <c r="P359" s="6" t="s">
        <v>16</v>
      </c>
      <c r="Q359" s="0" t="n">
        <f>TODAY()-j359</f>
        <v>87.59157665509701</v>
      </c>
      <c r="R359" t="str">
        <f>VLOOKUP(A359,'Last Week'!A4:I397,7,FALSE)</f>
        <v>CLOSED</v>
      </c>
    </row>
    <row collapsed="false" customFormat="false" customHeight="true" hidden="false" ht="23.85" outlineLevel="0" r="360">
      <c r="A360" s="6" t="s">
        <v>872</v>
      </c>
      <c r="B360" s="6" t="s">
        <v>873</v>
      </c>
      <c r="C360" s="6"/>
      <c r="D360" s="6" t="s">
        <v>556</v>
      </c>
      <c r="E360" s="6" t="s">
        <v>55</v>
      </c>
      <c r="F360" s="6"/>
      <c r="G360" s="6" t="s">
        <v>14</v>
      </c>
      <c r="H360" s="7" t="n">
        <v>43187.0848114931</v>
      </c>
      <c r="I360" s="8" t="n">
        <v>43187.0848114931</v>
      </c>
      <c r="J360" s="7" t="n">
        <v>43182.692208206</v>
      </c>
      <c r="K360" s="8" t="n">
        <v>43182.692208206</v>
      </c>
      <c r="L360" s="6" t="s">
        <v>15</v>
      </c>
      <c r="M360" s="6"/>
      <c r="N360" s="6"/>
      <c r="O360" s="6"/>
      <c r="P360" s="6" t="s">
        <v>16</v>
      </c>
      <c r="Q360" s="0" t="n">
        <f>TODAY()-j360</f>
        <v>87.3077917940027</v>
      </c>
      <c r="R360" t="str">
        <f>VLOOKUP(A360,'Last Week'!A4:I397,7,FALSE)</f>
        <v>CLOSED</v>
      </c>
    </row>
    <row collapsed="false" customFormat="false" customHeight="true" hidden="false" ht="23.85" outlineLevel="0" r="361">
      <c r="A361" s="6" t="s">
        <v>874</v>
      </c>
      <c r="B361" s="6" t="s">
        <v>873</v>
      </c>
      <c r="C361" s="6"/>
      <c r="D361" s="6" t="s">
        <v>556</v>
      </c>
      <c r="E361" s="6" t="s">
        <v>55</v>
      </c>
      <c r="F361" s="6"/>
      <c r="G361" s="6" t="s">
        <v>14</v>
      </c>
      <c r="H361" s="7" t="n">
        <v>43187.0848131018</v>
      </c>
      <c r="I361" s="8" t="n">
        <v>43187.0848131018</v>
      </c>
      <c r="J361" s="7" t="n">
        <v>43182.6939126505</v>
      </c>
      <c r="K361" s="8" t="n">
        <v>43182.6939126505</v>
      </c>
      <c r="L361" s="6" t="s">
        <v>15</v>
      </c>
      <c r="M361" s="6"/>
      <c r="N361" s="6"/>
      <c r="O361" s="6"/>
      <c r="P361" s="6" t="s">
        <v>16</v>
      </c>
      <c r="Q361" s="0" t="n">
        <f>TODAY()-j361</f>
        <v>87.30608734949783</v>
      </c>
      <c r="R361" t="str">
        <f>VLOOKUP(A361,'Last Week'!A4:I397,7,FALSE)</f>
        <v>CLOSED</v>
      </c>
    </row>
    <row collapsed="false" customFormat="false" customHeight="true" hidden="false" ht="23.85" outlineLevel="0" r="362">
      <c r="A362" s="6" t="s">
        <v>875</v>
      </c>
      <c r="B362" s="6" t="s">
        <v>873</v>
      </c>
      <c r="C362" s="6"/>
      <c r="D362" s="6" t="s">
        <v>556</v>
      </c>
      <c r="E362" s="6" t="s">
        <v>55</v>
      </c>
      <c r="F362" s="6"/>
      <c r="G362" s="6" t="s">
        <v>14</v>
      </c>
      <c r="H362" s="7" t="n">
        <v>43187.0848147454</v>
      </c>
      <c r="I362" s="8" t="n">
        <v>43187.0848147454</v>
      </c>
      <c r="J362" s="7" t="n">
        <v>43182.6948825116</v>
      </c>
      <c r="K362" s="8" t="n">
        <v>43182.6948825116</v>
      </c>
      <c r="L362" s="6" t="s">
        <v>15</v>
      </c>
      <c r="M362" s="6"/>
      <c r="N362" s="6"/>
      <c r="O362" s="6"/>
      <c r="P362" s="6" t="s">
        <v>16</v>
      </c>
      <c r="Q362" s="0" t="n">
        <f>TODAY()-j362</f>
        <v>87.30511748840217</v>
      </c>
      <c r="R362" t="str">
        <f>VLOOKUP(A362,'Last Week'!A4:I397,7,FALSE)</f>
        <v>CLOSED</v>
      </c>
    </row>
    <row collapsed="false" customFormat="false" customHeight="true" hidden="false" ht="23.85" outlineLevel="0" r="363">
      <c r="A363" s="6" t="s">
        <v>876</v>
      </c>
      <c r="B363" s="6" t="s">
        <v>312</v>
      </c>
      <c r="C363" s="6"/>
      <c r="D363" s="6" t="s">
        <v>54</v>
      </c>
      <c r="E363" s="6" t="s">
        <v>72</v>
      </c>
      <c r="F363" s="6"/>
      <c r="G363" s="6" t="s">
        <v>14</v>
      </c>
      <c r="H363" s="7" t="n">
        <v>43209.6257223032</v>
      </c>
      <c r="I363" s="8" t="n">
        <v>43209.6257223032</v>
      </c>
      <c r="J363" s="7" t="n">
        <v>43193.4634357986</v>
      </c>
      <c r="K363" s="8" t="n">
        <v>43193.4634357986</v>
      </c>
      <c r="L363" s="6" t="s">
        <v>15</v>
      </c>
      <c r="M363" s="6"/>
      <c r="N363" s="6"/>
      <c r="O363" s="6"/>
      <c r="P363" s="6" t="s">
        <v>58</v>
      </c>
      <c r="Q363" s="0" t="n">
        <f>TODAY()-j363</f>
        <v>76.53656420140032</v>
      </c>
      <c r="R363" t="str">
        <f>VLOOKUP(A363,'Last Week'!A4:I397,7,FALSE)</f>
        <v>CLOSED</v>
      </c>
    </row>
    <row collapsed="false" customFormat="false" customHeight="true" hidden="false" ht="23.85" outlineLevel="0" r="364">
      <c r="A364" s="6" t="s">
        <v>877</v>
      </c>
      <c r="B364" s="6" t="s">
        <v>878</v>
      </c>
      <c r="C364" s="6"/>
      <c r="D364" s="6" t="s">
        <v>728</v>
      </c>
      <c r="E364" s="6" t="s">
        <v>728</v>
      </c>
      <c r="F364" s="6"/>
      <c r="G364" s="6" t="s">
        <v>14</v>
      </c>
      <c r="H364" s="7" t="n">
        <v>43195.6853512847</v>
      </c>
      <c r="I364" s="8" t="n">
        <v>43195.6853512847</v>
      </c>
      <c r="J364" s="7" t="n">
        <v>43193.5007320486</v>
      </c>
      <c r="K364" s="8" t="n">
        <v>43193.5007320486</v>
      </c>
      <c r="L364" s="6" t="s">
        <v>15</v>
      </c>
      <c r="M364" s="6"/>
      <c r="N364" s="6"/>
      <c r="O364" s="6"/>
      <c r="P364" s="6" t="s">
        <v>58</v>
      </c>
      <c r="Q364" s="0" t="n">
        <f>TODAY()-j364</f>
        <v>76.49926795140345</v>
      </c>
      <c r="R364" t="str">
        <f>VLOOKUP(A364,'Last Week'!A4:I397,7,FALSE)</f>
        <v>CLOSED</v>
      </c>
    </row>
    <row collapsed="false" customFormat="false" customHeight="true" hidden="false" ht="46.25" outlineLevel="0" r="365">
      <c r="A365" s="6" t="s">
        <v>879</v>
      </c>
      <c r="B365" s="6" t="s">
        <v>880</v>
      </c>
      <c r="C365" s="6"/>
      <c r="D365" s="6" t="s">
        <v>183</v>
      </c>
      <c r="E365" s="6" t="s">
        <v>183</v>
      </c>
      <c r="F365" s="6"/>
      <c r="G365" s="6" t="s">
        <v>14</v>
      </c>
      <c r="H365" s="7" t="n">
        <v>43196.0841189583</v>
      </c>
      <c r="I365" s="8" t="n">
        <v>43196.0841189583</v>
      </c>
      <c r="J365" s="7" t="n">
        <v>43193.547248125</v>
      </c>
      <c r="K365" s="8" t="n">
        <v>43193.547248125</v>
      </c>
      <c r="L365" s="6" t="s">
        <v>15</v>
      </c>
      <c r="M365" s="6"/>
      <c r="N365" s="6"/>
      <c r="O365" s="6"/>
      <c r="P365" s="6" t="s">
        <v>58</v>
      </c>
      <c r="Q365" s="0" t="n">
        <f>TODAY()-j365</f>
        <v>76.45275187499647</v>
      </c>
      <c r="R365" t="str">
        <f>VLOOKUP(A365,'Last Week'!A4:I397,7,FALSE)</f>
        <v>CLOSED</v>
      </c>
    </row>
    <row collapsed="false" customFormat="false" customHeight="true" hidden="false" ht="23.85" outlineLevel="0" r="366">
      <c r="A366" s="6" t="s">
        <v>881</v>
      </c>
      <c r="B366" s="6" t="s">
        <v>882</v>
      </c>
      <c r="C366" s="6"/>
      <c r="D366" s="6" t="s">
        <v>854</v>
      </c>
      <c r="E366" s="6" t="s">
        <v>28</v>
      </c>
      <c r="F366" s="6"/>
      <c r="G366" s="6" t="s">
        <v>14</v>
      </c>
      <c r="H366" s="7" t="n">
        <v>43196.084207037</v>
      </c>
      <c r="I366" s="8" t="n">
        <v>43196.084207037</v>
      </c>
      <c r="J366" s="7" t="n">
        <v>43193.9428476389</v>
      </c>
      <c r="K366" s="8" t="n">
        <v>43193.9428476389</v>
      </c>
      <c r="L366" s="6" t="s">
        <v>15</v>
      </c>
      <c r="M366" s="6"/>
      <c r="N366" s="6"/>
      <c r="O366" s="6"/>
      <c r="P366" s="6" t="s">
        <v>58</v>
      </c>
      <c r="Q366" s="0" t="n">
        <f>TODAY()-j366</f>
        <v>76.05715236109972</v>
      </c>
      <c r="R366" t="str">
        <f>VLOOKUP(A366,'Last Week'!A4:I397,7,FALSE)</f>
        <v>CLOSED</v>
      </c>
    </row>
    <row collapsed="false" customFormat="false" customHeight="true" hidden="false" ht="35.05" outlineLevel="0" r="367">
      <c r="A367" s="6" t="s">
        <v>883</v>
      </c>
      <c r="B367" s="6" t="s">
        <v>884</v>
      </c>
      <c r="C367" s="6"/>
      <c r="D367" s="6" t="s">
        <v>494</v>
      </c>
      <c r="E367" s="6" t="s">
        <v>494</v>
      </c>
      <c r="F367" s="6"/>
      <c r="G367" s="6" t="s">
        <v>14</v>
      </c>
      <c r="H367" s="7" t="n">
        <v>43202.0855064583</v>
      </c>
      <c r="I367" s="8" t="n">
        <v>43202.0855064583</v>
      </c>
      <c r="J367" s="7" t="n">
        <v>43196.7927089236</v>
      </c>
      <c r="K367" s="8" t="n">
        <v>43196.7927089236</v>
      </c>
      <c r="L367" s="6" t="s">
        <v>15</v>
      </c>
      <c r="M367" s="6"/>
      <c r="N367" s="6"/>
      <c r="O367" s="6"/>
      <c r="P367" s="6" t="s">
        <v>58</v>
      </c>
      <c r="Q367" s="0" t="n">
        <f>TODAY()-j367</f>
        <v>73.20729107640364</v>
      </c>
      <c r="R367" t="str">
        <f>VLOOKUP(A367,'Last Week'!A4:I397,7,FALSE)</f>
        <v>CLOSED</v>
      </c>
    </row>
    <row collapsed="false" customFormat="false" customHeight="true" hidden="false" ht="23.85" outlineLevel="0" r="368">
      <c r="A368" s="6" t="s">
        <v>885</v>
      </c>
      <c r="B368" s="6" t="s">
        <v>886</v>
      </c>
      <c r="C368" s="6"/>
      <c r="D368" s="6" t="s">
        <v>140</v>
      </c>
      <c r="E368" s="6" t="s">
        <v>55</v>
      </c>
      <c r="F368" s="6"/>
      <c r="G368" s="6" t="s">
        <v>14</v>
      </c>
      <c r="H368" s="7" t="n">
        <v>43209.0848317824</v>
      </c>
      <c r="I368" s="8" t="n">
        <v>43209.0848317824</v>
      </c>
      <c r="J368" s="7" t="n">
        <v>43201.5538836574</v>
      </c>
      <c r="K368" s="8" t="n">
        <v>43201.5538836574</v>
      </c>
      <c r="L368" s="6" t="s">
        <v>15</v>
      </c>
      <c r="M368" s="6"/>
      <c r="N368" s="6"/>
      <c r="O368" s="6"/>
      <c r="P368" s="6" t="s">
        <v>58</v>
      </c>
      <c r="Q368" s="0" t="n">
        <f>TODAY()-j368</f>
        <v>68.44611634260218</v>
      </c>
      <c r="R368" t="str">
        <f>VLOOKUP(A368,'Last Week'!A4:I397,7,FALSE)</f>
        <v>CLOSED</v>
      </c>
    </row>
    <row collapsed="false" customFormat="false" customHeight="true" hidden="false" ht="23.85" outlineLevel="0" r="369">
      <c r="A369" s="6" t="s">
        <v>887</v>
      </c>
      <c r="B369" s="6" t="s">
        <v>888</v>
      </c>
      <c r="C369" s="6"/>
      <c r="D369" s="6" t="s">
        <v>375</v>
      </c>
      <c r="E369" s="6" t="s">
        <v>208</v>
      </c>
      <c r="F369" s="6"/>
      <c r="G369" s="6" t="s">
        <v>14</v>
      </c>
      <c r="H369" s="7" t="n">
        <v>43253.0834893287</v>
      </c>
      <c r="I369" s="8" t="n">
        <v>43253.0834893287</v>
      </c>
      <c r="J369" s="7" t="n">
        <v>43203.4985190856</v>
      </c>
      <c r="K369" s="8" t="n">
        <v>43203.4985190856</v>
      </c>
      <c r="L369" s="6" t="s">
        <v>15</v>
      </c>
      <c r="M369" s="6"/>
      <c r="N369" s="6"/>
      <c r="O369" s="6"/>
      <c r="P369" s="6" t="s">
        <v>16</v>
      </c>
      <c r="Q369" s="0" t="n">
        <f>TODAY()-j369</f>
        <v>66.50148091439769</v>
      </c>
      <c r="R369" t="str">
        <f>VLOOKUP(A369,'Last Week'!A4:I397,7,FALSE)</f>
        <v>CLOSED</v>
      </c>
    </row>
    <row collapsed="false" customFormat="false" customHeight="true" hidden="false" ht="23.85" outlineLevel="0" r="370">
      <c r="A370" s="6" t="s">
        <v>889</v>
      </c>
      <c r="B370" s="6" t="s">
        <v>890</v>
      </c>
      <c r="C370" s="6"/>
      <c r="D370" s="6" t="s">
        <v>891</v>
      </c>
      <c r="E370" s="6" t="s">
        <v>72</v>
      </c>
      <c r="F370" s="6"/>
      <c r="G370" s="6" t="s">
        <v>14</v>
      </c>
      <c r="H370" s="7" t="n">
        <v>43255.0834878704</v>
      </c>
      <c r="I370" s="8" t="n">
        <v>43255.0834878704</v>
      </c>
      <c r="J370" s="7" t="n">
        <v>43207.7337729282</v>
      </c>
      <c r="K370" s="8" t="n">
        <v>43207.7337729282</v>
      </c>
      <c r="L370" s="6" t="s">
        <v>15</v>
      </c>
      <c r="M370" s="6"/>
      <c r="N370" s="6"/>
      <c r="O370" s="6"/>
      <c r="P370" s="6" t="s">
        <v>16</v>
      </c>
      <c r="Q370" s="0" t="n">
        <f>TODAY()-j370</f>
        <v>62.26622707179922</v>
      </c>
      <c r="R370" t="str">
        <f>VLOOKUP(A370,'Last Week'!A4:I397,7,FALSE)</f>
        <v>CLOSED</v>
      </c>
    </row>
    <row collapsed="false" customFormat="false" customHeight="true" hidden="false" ht="23.85" outlineLevel="0" r="371">
      <c r="A371" s="6" t="s">
        <v>892</v>
      </c>
      <c r="B371" s="6" t="s">
        <v>893</v>
      </c>
      <c r="C371" s="6"/>
      <c r="D371" s="6" t="s">
        <v>894</v>
      </c>
      <c r="E371" s="6" t="s">
        <v>115</v>
      </c>
      <c r="F371" s="6"/>
      <c r="G371" s="6" t="s">
        <v>14</v>
      </c>
      <c r="H371" s="7" t="n">
        <v>43233.1252470023</v>
      </c>
      <c r="I371" s="8" t="n">
        <v>43233.1252470023</v>
      </c>
      <c r="J371" s="7" t="n">
        <v>43208.613928125</v>
      </c>
      <c r="K371" s="8" t="n">
        <v>43208.613928125</v>
      </c>
      <c r="L371" s="6" t="s">
        <v>15</v>
      </c>
      <c r="M371" s="6"/>
      <c r="N371" s="6"/>
      <c r="O371" s="6"/>
      <c r="P371" s="6" t="s">
        <v>16</v>
      </c>
      <c r="Q371" s="0" t="n">
        <f>TODAY()-j371</f>
        <v>61.3860718750002</v>
      </c>
      <c r="R371" t="str">
        <f>VLOOKUP(A371,'Last Week'!A4:I397,7,FALSE)</f>
        <v>CLOSED</v>
      </c>
    </row>
    <row collapsed="false" customFormat="false" customHeight="true" hidden="false" ht="46.25" outlineLevel="0" r="372">
      <c r="A372" s="6" t="s">
        <v>895</v>
      </c>
      <c r="B372" s="6" t="s">
        <v>896</v>
      </c>
      <c r="C372" s="6"/>
      <c r="D372" s="6" t="s">
        <v>154</v>
      </c>
      <c r="E372" s="6" t="s">
        <v>72</v>
      </c>
      <c r="F372" s="6"/>
      <c r="G372" s="6" t="s">
        <v>14</v>
      </c>
      <c r="H372" s="7" t="n">
        <v>43216.084111713</v>
      </c>
      <c r="I372" s="8" t="n">
        <v>43216.084111713</v>
      </c>
      <c r="J372" s="7" t="n">
        <v>43208.6656679861</v>
      </c>
      <c r="K372" s="8" t="n">
        <v>43208.6656679861</v>
      </c>
      <c r="L372" s="6" t="s">
        <v>15</v>
      </c>
      <c r="M372" s="6"/>
      <c r="N372" s="6"/>
      <c r="O372" s="6"/>
      <c r="P372" s="6" t="s">
        <v>46</v>
      </c>
      <c r="Q372" s="0" t="n">
        <f>TODAY()-j372</f>
        <v>61.334332013902895</v>
      </c>
      <c r="R372" t="str">
        <f>VLOOKUP(A372,'Last Week'!A4:I397,7,FALSE)</f>
        <v>CLOSED</v>
      </c>
    </row>
    <row collapsed="false" customFormat="false" customHeight="true" hidden="false" ht="35.05" outlineLevel="0" r="373">
      <c r="A373" s="6" t="s">
        <v>897</v>
      </c>
      <c r="B373" s="6" t="s">
        <v>898</v>
      </c>
      <c r="C373" s="6"/>
      <c r="D373" s="6" t="s">
        <v>240</v>
      </c>
      <c r="E373" s="6" t="s">
        <v>28</v>
      </c>
      <c r="F373" s="6"/>
      <c r="G373" s="6" t="s">
        <v>14</v>
      </c>
      <c r="H373" s="7" t="n">
        <v>43217.0838972569</v>
      </c>
      <c r="I373" s="8" t="n">
        <v>43217.0838972569</v>
      </c>
      <c r="J373" s="7" t="n">
        <v>43208.7689821065</v>
      </c>
      <c r="K373" s="8" t="n">
        <v>43208.7689821065</v>
      </c>
      <c r="L373" s="6" t="s">
        <v>15</v>
      </c>
      <c r="M373" s="6"/>
      <c r="N373" s="6"/>
      <c r="O373" s="6"/>
      <c r="P373" s="6" t="s">
        <v>58</v>
      </c>
      <c r="Q373" s="0" t="n">
        <f>TODAY()-j373</f>
        <v>61.23101789350039</v>
      </c>
      <c r="R373" t="str">
        <f>VLOOKUP(A373,'Last Week'!A4:I397,7,FALSE)</f>
        <v>CLOSED</v>
      </c>
    </row>
    <row collapsed="false" customFormat="false" customHeight="true" hidden="false" ht="23.85" outlineLevel="0" r="374">
      <c r="A374" s="6" t="s">
        <v>899</v>
      </c>
      <c r="B374" s="6" t="s">
        <v>900</v>
      </c>
      <c r="C374" s="6"/>
      <c r="D374" s="6" t="s">
        <v>556</v>
      </c>
      <c r="E374" s="6" t="s">
        <v>28</v>
      </c>
      <c r="F374" s="6"/>
      <c r="G374" s="6" t="s">
        <v>14</v>
      </c>
      <c r="H374" s="7" t="n">
        <v>43216.0847094097</v>
      </c>
      <c r="I374" s="8" t="n">
        <v>43216.0847094097</v>
      </c>
      <c r="J374" s="7" t="n">
        <v>43213.7007715162</v>
      </c>
      <c r="K374" s="8" t="n">
        <v>43213.7007715162</v>
      </c>
      <c r="L374" s="6" t="s">
        <v>15</v>
      </c>
      <c r="M374" s="6"/>
      <c r="N374" s="6"/>
      <c r="O374" s="6"/>
      <c r="P374" s="6" t="s">
        <v>58</v>
      </c>
      <c r="Q374" s="0" t="n">
        <f>TODAY()-j374</f>
        <v>56.29922848379647</v>
      </c>
      <c r="R374" t="str">
        <f>VLOOKUP(A374,'Last Week'!A4:I397,7,FALSE)</f>
        <v>CLOSED</v>
      </c>
    </row>
    <row collapsed="false" customFormat="false" customHeight="true" hidden="false" ht="23.85" outlineLevel="0" r="375">
      <c r="A375" s="6" t="s">
        <v>901</v>
      </c>
      <c r="B375" s="6" t="s">
        <v>902</v>
      </c>
      <c r="C375" s="6"/>
      <c r="D375" s="6" t="s">
        <v>556</v>
      </c>
      <c r="E375" s="6" t="s">
        <v>28</v>
      </c>
      <c r="F375" s="6"/>
      <c r="G375" s="6" t="s">
        <v>14</v>
      </c>
      <c r="H375" s="7" t="n">
        <v>43216.0847238426</v>
      </c>
      <c r="I375" s="8" t="n">
        <v>43216.0847238426</v>
      </c>
      <c r="J375" s="7" t="n">
        <v>43213.702758912</v>
      </c>
      <c r="K375" s="8" t="n">
        <v>43213.702758912</v>
      </c>
      <c r="L375" s="6" t="s">
        <v>15</v>
      </c>
      <c r="M375" s="6"/>
      <c r="N375" s="6"/>
      <c r="O375" s="6"/>
      <c r="P375" s="6" t="s">
        <v>58</v>
      </c>
      <c r="Q375" s="0" t="n">
        <f>TODAY()-j375</f>
        <v>56.29724108800292</v>
      </c>
      <c r="R375" t="str">
        <f>VLOOKUP(A375,'Last Week'!A4:I397,7,FALSE)</f>
        <v>CLOSED</v>
      </c>
    </row>
    <row collapsed="false" customFormat="false" customHeight="true" hidden="false" ht="23.85" outlineLevel="0" r="376">
      <c r="A376" s="6" t="s">
        <v>903</v>
      </c>
      <c r="B376" s="6" t="s">
        <v>904</v>
      </c>
      <c r="C376" s="6"/>
      <c r="D376" s="6" t="s">
        <v>905</v>
      </c>
      <c r="E376" s="6" t="s">
        <v>906</v>
      </c>
      <c r="F376" s="6"/>
      <c r="G376" s="6" t="s">
        <v>14</v>
      </c>
      <c r="H376" s="7" t="n">
        <v>43226.0001602199</v>
      </c>
      <c r="I376" s="8" t="n">
        <v>43226.0001602199</v>
      </c>
      <c r="J376" s="7" t="n">
        <v>43216.7173900579</v>
      </c>
      <c r="K376" s="8" t="n">
        <v>43216.7173900579</v>
      </c>
      <c r="L376" s="6" t="s">
        <v>15</v>
      </c>
      <c r="M376" s="6"/>
      <c r="N376" s="6"/>
      <c r="O376" s="6"/>
      <c r="P376" s="6" t="s">
        <v>58</v>
      </c>
      <c r="Q376" s="0" t="n">
        <f>TODAY()-j376</f>
        <v>53.28260994209995</v>
      </c>
      <c r="R376" t="str">
        <f>VLOOKUP(A376,'Last Week'!A4:I397,7,FALSE)</f>
        <v>CLOSED</v>
      </c>
    </row>
    <row collapsed="false" customFormat="false" customHeight="true" hidden="false" ht="23.85" outlineLevel="0" r="377">
      <c r="A377" s="6" t="s">
        <v>907</v>
      </c>
      <c r="B377" s="6" t="s">
        <v>908</v>
      </c>
      <c r="C377" s="6"/>
      <c r="D377" s="6" t="s">
        <v>909</v>
      </c>
      <c r="E377" s="6" t="s">
        <v>28</v>
      </c>
      <c r="F377" s="6"/>
      <c r="G377" s="6" t="s">
        <v>14</v>
      </c>
      <c r="H377" s="7" t="n">
        <v>43229.2918411806</v>
      </c>
      <c r="I377" s="8" t="n">
        <v>43229.2918411806</v>
      </c>
      <c r="J377" s="7" t="n">
        <v>43217.6961291898</v>
      </c>
      <c r="K377" s="8" t="n">
        <v>43217.6961291898</v>
      </c>
      <c r="L377" s="6" t="s">
        <v>15</v>
      </c>
      <c r="M377" s="6"/>
      <c r="N377" s="6"/>
      <c r="O377" s="6"/>
      <c r="P377" s="6" t="s">
        <v>16</v>
      </c>
      <c r="Q377" s="0" t="n">
        <f>TODAY()-j377</f>
        <v>52.30387081020308</v>
      </c>
      <c r="R377" t="str">
        <f>VLOOKUP(A377,'Last Week'!A4:I397,7,FALSE)</f>
        <v>CLOSED</v>
      </c>
    </row>
    <row collapsed="false" customFormat="false" customHeight="true" hidden="false" ht="23.85" outlineLevel="0" r="378">
      <c r="A378" s="6" t="s">
        <v>910</v>
      </c>
      <c r="B378" s="6" t="s">
        <v>57</v>
      </c>
      <c r="C378" s="6"/>
      <c r="D378" s="6" t="s">
        <v>54</v>
      </c>
      <c r="E378" s="6" t="s">
        <v>72</v>
      </c>
      <c r="F378" s="6"/>
      <c r="G378" s="6" t="s">
        <v>14</v>
      </c>
      <c r="H378" s="7" t="n">
        <v>43226.0001684606</v>
      </c>
      <c r="I378" s="8" t="n">
        <v>43226.0001684606</v>
      </c>
      <c r="J378" s="7" t="n">
        <v>43223.4279161227</v>
      </c>
      <c r="K378" s="8" t="n">
        <v>43223.4279161227</v>
      </c>
      <c r="L378" s="6" t="s">
        <v>15</v>
      </c>
      <c r="M378" s="6"/>
      <c r="N378" s="6"/>
      <c r="O378" s="6"/>
      <c r="P378" s="6" t="s">
        <v>58</v>
      </c>
      <c r="Q378" s="0" t="n">
        <f>TODAY()-j378</f>
        <v>46.5720838772977</v>
      </c>
      <c r="R378" t="str">
        <f>VLOOKUP(A378,'Last Week'!A4:I397,7,FALSE)</f>
        <v>CLOSED</v>
      </c>
    </row>
    <row collapsed="false" customFormat="false" customHeight="true" hidden="false" ht="23.85" outlineLevel="0" r="379">
      <c r="A379" s="6" t="s">
        <v>911</v>
      </c>
      <c r="B379" s="6" t="s">
        <v>912</v>
      </c>
      <c r="C379" s="6"/>
      <c r="D379" s="6" t="s">
        <v>913</v>
      </c>
      <c r="E379" s="6" t="s">
        <v>115</v>
      </c>
      <c r="F379" s="6"/>
      <c r="G379" s="6" t="s">
        <v>14</v>
      </c>
      <c r="H379" s="7" t="n">
        <v>43229.0849535185</v>
      </c>
      <c r="I379" s="8" t="n">
        <v>43229.0849535185</v>
      </c>
      <c r="J379" s="7" t="n">
        <v>43224.4206784607</v>
      </c>
      <c r="K379" s="8" t="n">
        <v>43224.4206784607</v>
      </c>
      <c r="L379" s="6" t="s">
        <v>15</v>
      </c>
      <c r="M379" s="6"/>
      <c r="N379" s="6"/>
      <c r="O379" s="6"/>
      <c r="P379" s="6" t="s">
        <v>58</v>
      </c>
      <c r="Q379" s="0" t="n">
        <f>TODAY()-j379</f>
        <v>45.57932153929869</v>
      </c>
      <c r="R379" t="str">
        <f>VLOOKUP(A379,'Last Week'!A4:I397,7,FALSE)</f>
        <v>CLOSED</v>
      </c>
    </row>
    <row collapsed="false" customFormat="false" customHeight="true" hidden="false" ht="23.85" outlineLevel="0" r="380">
      <c r="A380" s="6" t="s">
        <v>914</v>
      </c>
      <c r="B380" s="6" t="s">
        <v>915</v>
      </c>
      <c r="C380" s="6"/>
      <c r="D380" s="6" t="s">
        <v>728</v>
      </c>
      <c r="E380" s="6" t="s">
        <v>401</v>
      </c>
      <c r="F380" s="6"/>
      <c r="G380" s="6" t="s">
        <v>14</v>
      </c>
      <c r="H380" s="7" t="n">
        <v>43229.1251768634</v>
      </c>
      <c r="I380" s="8" t="n">
        <v>43229.1251768634</v>
      </c>
      <c r="J380" s="7" t="n">
        <v>43224.5367589236</v>
      </c>
      <c r="K380" s="8" t="n">
        <v>43224.5367589236</v>
      </c>
      <c r="L380" s="6" t="s">
        <v>15</v>
      </c>
      <c r="M380" s="6"/>
      <c r="N380" s="6"/>
      <c r="O380" s="6"/>
      <c r="P380" s="6" t="s">
        <v>16</v>
      </c>
      <c r="Q380" s="0" t="n">
        <f>TODAY()-j380</f>
        <v>45.46324107640248</v>
      </c>
      <c r="R380" t="str">
        <f>VLOOKUP(A380,'Last Week'!A4:I397,7,FALSE)</f>
        <v>CLOSED</v>
      </c>
    </row>
    <row collapsed="false" customFormat="false" customHeight="true" hidden="false" ht="23.85" outlineLevel="0" r="381">
      <c r="A381" s="6" t="s">
        <v>916</v>
      </c>
      <c r="B381" s="6" t="s">
        <v>917</v>
      </c>
      <c r="C381" s="6"/>
      <c r="D381" s="6" t="s">
        <v>918</v>
      </c>
      <c r="E381" s="6" t="s">
        <v>28</v>
      </c>
      <c r="F381" s="6"/>
      <c r="G381" s="6" t="s">
        <v>14</v>
      </c>
      <c r="H381" s="7" t="n">
        <v>43245.0841348032</v>
      </c>
      <c r="I381" s="8" t="n">
        <v>43245.0841348032</v>
      </c>
      <c r="J381" s="7" t="n">
        <v>43229.7558914468</v>
      </c>
      <c r="K381" s="8" t="n">
        <v>43229.7558914468</v>
      </c>
      <c r="L381" s="6" t="s">
        <v>15</v>
      </c>
      <c r="M381" s="6"/>
      <c r="N381" s="6"/>
      <c r="O381" s="6"/>
      <c r="P381" s="6" t="s">
        <v>16</v>
      </c>
      <c r="Q381" s="0" t="n">
        <f>TODAY()-j381</f>
        <v>40.24410855319729</v>
      </c>
      <c r="R381" t="str">
        <f>VLOOKUP(A381,'Last Week'!A4:I397,7,FALSE)</f>
        <v>CLOSED</v>
      </c>
    </row>
    <row collapsed="false" customFormat="false" customHeight="true" hidden="false" ht="23.85" outlineLevel="0" r="382">
      <c r="A382" s="6" t="s">
        <v>919</v>
      </c>
      <c r="B382" s="6" t="s">
        <v>920</v>
      </c>
      <c r="C382" s="6"/>
      <c r="D382" s="6" t="s">
        <v>728</v>
      </c>
      <c r="E382" s="6" t="s">
        <v>277</v>
      </c>
      <c r="F382" s="6"/>
      <c r="G382" s="6" t="s">
        <v>14</v>
      </c>
      <c r="H382" s="7" t="n">
        <v>43232.0850143287</v>
      </c>
      <c r="I382" s="8" t="n">
        <v>43232.0850143287</v>
      </c>
      <c r="J382" s="7" t="n">
        <v>43230.4222045486</v>
      </c>
      <c r="K382" s="8" t="n">
        <v>43230.4222045486</v>
      </c>
      <c r="L382" s="6" t="s">
        <v>15</v>
      </c>
      <c r="M382" s="6"/>
      <c r="N382" s="6"/>
      <c r="O382" s="6"/>
      <c r="P382" s="6" t="s">
        <v>58</v>
      </c>
      <c r="Q382" s="0" t="n">
        <f>TODAY()-j382</f>
        <v>39.57779545139783</v>
      </c>
      <c r="R382" t="str">
        <f>VLOOKUP(A382,'Last Week'!A4:I397,7,FALSE)</f>
        <v>CLOSED</v>
      </c>
    </row>
    <row collapsed="false" customFormat="false" customHeight="true" hidden="false" ht="23.85" outlineLevel="0" r="383">
      <c r="A383" s="6" t="s">
        <v>921</v>
      </c>
      <c r="B383" s="6" t="s">
        <v>922</v>
      </c>
      <c r="C383" s="6"/>
      <c r="D383" s="6" t="s">
        <v>923</v>
      </c>
      <c r="E383" s="6" t="s">
        <v>72</v>
      </c>
      <c r="F383" s="6"/>
      <c r="G383" s="6" t="s">
        <v>14</v>
      </c>
      <c r="H383" s="7" t="n">
        <v>43259.0836606829</v>
      </c>
      <c r="I383" s="8" t="n">
        <v>43259.0836606829</v>
      </c>
      <c r="J383" s="7" t="n">
        <v>43230.5192152315</v>
      </c>
      <c r="K383" s="8" t="n">
        <v>43230.5192152315</v>
      </c>
      <c r="L383" s="6" t="s">
        <v>15</v>
      </c>
      <c r="M383" s="6"/>
      <c r="N383" s="6"/>
      <c r="O383" s="6"/>
      <c r="P383" s="6" t="s">
        <v>16</v>
      </c>
      <c r="Q383" s="0" t="n">
        <f>TODAY()-j383</f>
        <v>39.4807847685006</v>
      </c>
      <c r="R383" t="str">
        <f>VLOOKUP(A383,'Last Week'!A4:I397,7,FALSE)</f>
        <v>CLOSED</v>
      </c>
    </row>
    <row collapsed="false" customFormat="false" customHeight="true" hidden="false" ht="23.85" outlineLevel="0" r="384">
      <c r="A384" s="6" t="s">
        <v>924</v>
      </c>
      <c r="B384" s="6" t="s">
        <v>925</v>
      </c>
      <c r="C384" s="6"/>
      <c r="D384" s="6" t="s">
        <v>926</v>
      </c>
      <c r="E384" s="6" t="s">
        <v>811</v>
      </c>
      <c r="F384" s="6"/>
      <c r="G384" s="6" t="s">
        <v>14</v>
      </c>
      <c r="H384" s="7" t="n">
        <v>43240.9588778241</v>
      </c>
      <c r="I384" s="8" t="n">
        <v>43240.9588778241</v>
      </c>
      <c r="J384" s="7" t="n">
        <v>43230.5712833449</v>
      </c>
      <c r="K384" s="8" t="n">
        <v>43230.5712833449</v>
      </c>
      <c r="L384" s="6" t="s">
        <v>15</v>
      </c>
      <c r="M384" s="6"/>
      <c r="N384" s="6"/>
      <c r="O384" s="6"/>
      <c r="P384" s="6" t="s">
        <v>16</v>
      </c>
      <c r="Q384" s="0" t="n">
        <f>TODAY()-j384</f>
        <v>39.42871665510029</v>
      </c>
      <c r="R384" t="str">
        <f>VLOOKUP(A384,'Last Week'!A4:I397,7,FALSE)</f>
        <v>CLOSED</v>
      </c>
    </row>
    <row collapsed="false" customFormat="false" customHeight="true" hidden="false" ht="23.85" outlineLevel="0" r="385">
      <c r="A385" s="6" t="s">
        <v>927</v>
      </c>
      <c r="B385" s="6" t="s">
        <v>928</v>
      </c>
      <c r="C385" s="6"/>
      <c r="D385" s="6" t="s">
        <v>154</v>
      </c>
      <c r="E385" s="6" t="s">
        <v>72</v>
      </c>
      <c r="F385" s="6"/>
      <c r="G385" s="6" t="s">
        <v>14</v>
      </c>
      <c r="H385" s="7" t="n">
        <v>43252.0835796875</v>
      </c>
      <c r="I385" s="8" t="n">
        <v>43252.0835796875</v>
      </c>
      <c r="J385" s="7" t="n">
        <v>43234.7171812731</v>
      </c>
      <c r="K385" s="8" t="n">
        <v>43234.7171812731</v>
      </c>
      <c r="L385" s="6" t="s">
        <v>15</v>
      </c>
      <c r="M385" s="6"/>
      <c r="N385" s="6"/>
      <c r="O385" s="6"/>
      <c r="P385" s="6" t="s">
        <v>16</v>
      </c>
      <c r="Q385" s="0" t="n">
        <f>TODAY()-j385</f>
        <v>35.28281872689695</v>
      </c>
      <c r="R385" t="str">
        <f>VLOOKUP(A385,'Last Week'!A4:I397,7,FALSE)</f>
        <v>CLOSED</v>
      </c>
    </row>
    <row collapsed="false" customFormat="false" customHeight="true" hidden="false" ht="23.85" outlineLevel="0" r="386">
      <c r="A386" s="6" t="s">
        <v>929</v>
      </c>
      <c r="B386" s="6" t="s">
        <v>930</v>
      </c>
      <c r="C386" s="6"/>
      <c r="D386" s="6" t="s">
        <v>931</v>
      </c>
      <c r="E386" s="6" t="s">
        <v>241</v>
      </c>
      <c r="F386" s="6"/>
      <c r="G386" s="6" t="s">
        <v>14</v>
      </c>
      <c r="H386" s="7" t="n">
        <v>43253.083530162</v>
      </c>
      <c r="I386" s="8" t="n">
        <v>43253.083530162</v>
      </c>
      <c r="J386" s="7" t="n">
        <v>43235.7191699537</v>
      </c>
      <c r="K386" s="8" t="n">
        <v>43235.7191699537</v>
      </c>
      <c r="L386" s="6" t="s">
        <v>15</v>
      </c>
      <c r="M386" s="6"/>
      <c r="N386" s="6"/>
      <c r="O386" s="6"/>
      <c r="P386" s="6" t="s">
        <v>16</v>
      </c>
      <c r="Q386" s="0" t="n">
        <f>TODAY()-j386</f>
        <v>34.28083004630025</v>
      </c>
      <c r="R386" t="str">
        <f>VLOOKUP(A386,'Last Week'!A4:I397,7,FALSE)</f>
        <v>CLOSED</v>
      </c>
    </row>
    <row collapsed="false" customFormat="false" customHeight="true" hidden="false" ht="35.05" outlineLevel="0" r="387">
      <c r="A387" s="6" t="s">
        <v>932</v>
      </c>
      <c r="B387" s="6" t="s">
        <v>933</v>
      </c>
      <c r="C387" s="6"/>
      <c r="D387" s="6" t="s">
        <v>934</v>
      </c>
      <c r="E387" s="6" t="s">
        <v>401</v>
      </c>
      <c r="F387" s="6"/>
      <c r="G387" s="6" t="s">
        <v>14</v>
      </c>
      <c r="H387" s="7" t="n">
        <v>43244.3750896991</v>
      </c>
      <c r="I387" s="8" t="n">
        <v>43244.3750896991</v>
      </c>
      <c r="J387" s="7" t="n">
        <v>43236.5355537384</v>
      </c>
      <c r="K387" s="8" t="n">
        <v>43236.5355537384</v>
      </c>
      <c r="L387" s="6" t="s">
        <v>15</v>
      </c>
      <c r="M387" s="6"/>
      <c r="N387" s="6"/>
      <c r="O387" s="6"/>
      <c r="P387" s="6" t="s">
        <v>16</v>
      </c>
      <c r="Q387" s="0" t="n">
        <f>TODAY()-j387</f>
        <v>33.464446261597914</v>
      </c>
      <c r="R387" t="str">
        <f>VLOOKUP(A387,'Last Week'!A4:I397,7,FALSE)</f>
        <v>CLOSED</v>
      </c>
    </row>
    <row collapsed="false" customFormat="false" customHeight="true" hidden="false" ht="23.85" outlineLevel="0" r="388">
      <c r="A388" s="6" t="s">
        <v>935</v>
      </c>
      <c r="B388" s="6" t="s">
        <v>936</v>
      </c>
      <c r="C388" s="6"/>
      <c r="D388" s="6" t="s">
        <v>937</v>
      </c>
      <c r="E388" s="6" t="s">
        <v>37</v>
      </c>
      <c r="F388" s="6"/>
      <c r="G388" s="6" t="s">
        <v>14</v>
      </c>
      <c r="H388" s="7" t="n">
        <v>43240.8755502894</v>
      </c>
      <c r="I388" s="8" t="n">
        <v>43240.8755502894</v>
      </c>
      <c r="J388" s="7" t="n">
        <v>43236.6042149421</v>
      </c>
      <c r="K388" s="8" t="n">
        <v>43236.6042149421</v>
      </c>
      <c r="L388" s="6" t="s">
        <v>15</v>
      </c>
      <c r="M388" s="6"/>
      <c r="N388" s="6"/>
      <c r="O388" s="6"/>
      <c r="P388" s="6" t="s">
        <v>16</v>
      </c>
      <c r="Q388" s="0" t="n">
        <f>TODAY()-j388</f>
        <v>33.395785057902685</v>
      </c>
      <c r="R388" t="str">
        <f>VLOOKUP(A388,'Last Week'!A4:I397,7,FALSE)</f>
        <v>CLOSED</v>
      </c>
    </row>
    <row collapsed="false" customFormat="false" customHeight="true" hidden="false" ht="35.05" outlineLevel="0" r="389">
      <c r="A389" s="6" t="s">
        <v>938</v>
      </c>
      <c r="B389" s="6" t="s">
        <v>939</v>
      </c>
      <c r="C389" s="6"/>
      <c r="D389" s="6" t="s">
        <v>92</v>
      </c>
      <c r="E389" s="6" t="s">
        <v>28</v>
      </c>
      <c r="F389" s="6"/>
      <c r="G389" s="6" t="s">
        <v>14</v>
      </c>
      <c r="H389" s="7" t="n">
        <v>43252.0836761458</v>
      </c>
      <c r="I389" s="8" t="n">
        <v>43252.0836761458</v>
      </c>
      <c r="J389" s="7" t="n">
        <v>43236.8312245718</v>
      </c>
      <c r="K389" s="8" t="n">
        <v>43236.8312245718</v>
      </c>
      <c r="L389" s="6" t="s">
        <v>15</v>
      </c>
      <c r="M389" s="6"/>
      <c r="N389" s="6"/>
      <c r="O389" s="6"/>
      <c r="P389" s="6" t="s">
        <v>16</v>
      </c>
      <c r="Q389" s="0" t="n">
        <f>TODAY()-j389</f>
        <v>33.168775428202935</v>
      </c>
      <c r="R389" t="str">
        <f>VLOOKUP(A389,'Last Week'!A4:I397,7,FALSE)</f>
        <v>CLOSED</v>
      </c>
    </row>
    <row collapsed="false" customFormat="false" customHeight="true" hidden="false" ht="23.85" outlineLevel="0" r="390">
      <c r="A390" s="6" t="s">
        <v>940</v>
      </c>
      <c r="B390" s="6" t="s">
        <v>941</v>
      </c>
      <c r="C390" s="6"/>
      <c r="D390" s="6" t="s">
        <v>130</v>
      </c>
      <c r="E390" s="6" t="s">
        <v>241</v>
      </c>
      <c r="F390" s="6"/>
      <c r="G390" s="6" t="s">
        <v>14</v>
      </c>
      <c r="H390" s="7" t="n">
        <v>43251.0835027315</v>
      </c>
      <c r="I390" s="8" t="n">
        <v>43251.0835027315</v>
      </c>
      <c r="J390" s="7" t="n">
        <v>43237.412098831</v>
      </c>
      <c r="K390" s="8" t="n">
        <v>43237.412098831</v>
      </c>
      <c r="L390" s="6" t="s">
        <v>15</v>
      </c>
      <c r="M390" s="6"/>
      <c r="N390" s="6"/>
      <c r="O390" s="6"/>
      <c r="P390" s="6" t="s">
        <v>16</v>
      </c>
      <c r="Q390" s="0" t="n">
        <f>TODAY()-j390</f>
        <v>32.58790116899763</v>
      </c>
      <c r="R390" t="str">
        <f>VLOOKUP(A390,'Last Week'!A4:I397,7,FALSE)</f>
        <v>CLOSED</v>
      </c>
    </row>
    <row collapsed="false" customFormat="false" customHeight="true" hidden="false" ht="23.85" outlineLevel="0" r="391">
      <c r="A391" s="6" t="s">
        <v>942</v>
      </c>
      <c r="B391" s="6" t="s">
        <v>943</v>
      </c>
      <c r="C391" s="6"/>
      <c r="D391" s="6" t="s">
        <v>556</v>
      </c>
      <c r="E391" s="6" t="s">
        <v>55</v>
      </c>
      <c r="F391" s="6"/>
      <c r="G391" s="6" t="s">
        <v>14</v>
      </c>
      <c r="H391" s="7" t="n">
        <v>43245.084348588</v>
      </c>
      <c r="I391" s="8" t="n">
        <v>43245.084348588</v>
      </c>
      <c r="J391" s="7" t="n">
        <v>43243.4192312731</v>
      </c>
      <c r="K391" s="8" t="n">
        <v>43243.4192312731</v>
      </c>
      <c r="L391" s="6" t="s">
        <v>15</v>
      </c>
      <c r="M391" s="6"/>
      <c r="N391" s="6"/>
      <c r="O391" s="6"/>
      <c r="P391" s="6" t="s">
        <v>16</v>
      </c>
      <c r="Q391" s="0" t="n">
        <f>TODAY()-j391</f>
        <v>26.580768726897077</v>
      </c>
      <c r="R391" t="str">
        <f>VLOOKUP(A391,'Last Week'!A4:I397,7,FALSE)</f>
        <v>CLOSED</v>
      </c>
    </row>
    <row collapsed="false" customFormat="false" customHeight="true" hidden="false" ht="35.05" outlineLevel="0" r="392">
      <c r="A392" s="6" t="s">
        <v>944</v>
      </c>
      <c r="B392" s="6" t="s">
        <v>945</v>
      </c>
      <c r="C392" s="6"/>
      <c r="D392" s="6" t="s">
        <v>186</v>
      </c>
      <c r="E392" s="6" t="s">
        <v>240</v>
      </c>
      <c r="F392" s="6"/>
      <c r="G392" s="6" t="s">
        <v>14</v>
      </c>
      <c r="H392" s="7" t="n">
        <v>43257.0837602431</v>
      </c>
      <c r="I392" s="8" t="n">
        <v>43257.0837602431</v>
      </c>
      <c r="J392" s="7" t="n">
        <v>43243.6589849653</v>
      </c>
      <c r="K392" s="8" t="n">
        <v>43243.6589849653</v>
      </c>
      <c r="L392" s="6" t="s">
        <v>15</v>
      </c>
      <c r="M392" s="6"/>
      <c r="N392" s="6"/>
      <c r="O392" s="6"/>
      <c r="P392" s="6" t="s">
        <v>16</v>
      </c>
      <c r="Q392" s="0" t="n">
        <f>TODAY()-j392</f>
        <v>26.341015034697193</v>
      </c>
      <c r="R392" t="str">
        <f>VLOOKUP(A392,'Last Week'!A4:I397,7,FALSE)</f>
        <v>CLOSED</v>
      </c>
    </row>
    <row collapsed="false" customFormat="false" customHeight="true" hidden="false" ht="23.85" outlineLevel="0" r="393">
      <c r="A393" s="6" t="s">
        <v>946</v>
      </c>
      <c r="B393" s="6" t="s">
        <v>947</v>
      </c>
      <c r="C393" s="6"/>
      <c r="D393" s="6" t="s">
        <v>556</v>
      </c>
      <c r="E393" s="6" t="s">
        <v>45</v>
      </c>
      <c r="F393" s="6"/>
      <c r="G393" s="6" t="s">
        <v>14</v>
      </c>
      <c r="H393" s="7" t="n">
        <v>43259.0837097801</v>
      </c>
      <c r="I393" s="8" t="n">
        <v>43259.0837097801</v>
      </c>
      <c r="J393" s="7" t="n">
        <v>43250.4502130093</v>
      </c>
      <c r="K393" s="8" t="n">
        <v>43250.4502130093</v>
      </c>
      <c r="L393" s="6" t="s">
        <v>15</v>
      </c>
      <c r="M393" s="6"/>
      <c r="N393" s="6"/>
      <c r="O393" s="6"/>
      <c r="P393" s="6" t="s">
        <v>16</v>
      </c>
      <c r="Q393" s="0" t="n">
        <f>TODAY()-j393</f>
        <v>19.549786990697612</v>
      </c>
      <c r="R393" t="str">
        <f>VLOOKUP(A393,'Last Week'!A4:I397,7,FALSE)</f>
        <v>CLOSED</v>
      </c>
    </row>
    <row collapsed="false" customFormat="false" customHeight="true" hidden="false" ht="23.85" outlineLevel="0" r="394">
      <c r="A394" s="6" t="s">
        <v>948</v>
      </c>
      <c r="B394" s="6" t="s">
        <v>949</v>
      </c>
      <c r="C394" s="6"/>
      <c r="D394" s="6" t="s">
        <v>950</v>
      </c>
      <c r="E394" s="6" t="s">
        <v>241</v>
      </c>
      <c r="F394" s="6"/>
      <c r="G394" s="6" t="s">
        <v>14</v>
      </c>
      <c r="H394" s="7" t="n">
        <v>43254.6251647917</v>
      </c>
      <c r="I394" s="8" t="n">
        <v>43254.6251647917</v>
      </c>
      <c r="J394" s="7" t="n">
        <v>43251.6073176389</v>
      </c>
      <c r="K394" s="8" t="n">
        <v>43251.6073176389</v>
      </c>
      <c r="L394" s="6" t="s">
        <v>15</v>
      </c>
      <c r="M394" s="6"/>
      <c r="N394" s="6"/>
      <c r="O394" s="6"/>
      <c r="P394" s="6" t="s">
        <v>16</v>
      </c>
      <c r="Q394" s="0" t="n">
        <f>TODAY()-j394</f>
        <v>18.392682361096377</v>
      </c>
      <c r="R394" t="str">
        <f>VLOOKUP(A394,'Last Week'!A4:I397,7,FALSE)</f>
        <v>CLOSED</v>
      </c>
    </row>
    <row collapsed="false" customFormat="false" customHeight="true" hidden="false" ht="23.85" outlineLevel="0" r="395">
      <c r="A395" s="6" t="s">
        <v>951</v>
      </c>
      <c r="B395" s="6" t="s">
        <v>952</v>
      </c>
      <c r="C395" s="6"/>
      <c r="D395" s="6" t="s">
        <v>54</v>
      </c>
      <c r="E395" s="6" t="s">
        <v>72</v>
      </c>
      <c r="F395" s="6"/>
      <c r="G395" s="6" t="s">
        <v>14</v>
      </c>
      <c r="H395" s="7" t="n">
        <v>43264.1670036458</v>
      </c>
      <c r="I395" s="8" t="n">
        <v>43264.1670036458</v>
      </c>
      <c r="J395" s="7" t="n">
        <v>43255.4737618056</v>
      </c>
      <c r="K395" s="8" t="n">
        <v>43255.4737618056</v>
      </c>
      <c r="L395" s="6" t="s">
        <v>15</v>
      </c>
      <c r="M395" s="6"/>
      <c r="N395" s="6"/>
      <c r="O395" s="6"/>
      <c r="P395" s="6" t="s">
        <v>58</v>
      </c>
      <c r="Q395" s="0" t="n">
        <f>TODAY()-j395</f>
        <v>14.526238194397592</v>
      </c>
      <c r="R395" t="str">
        <f>VLOOKUP(A395,'Last Week'!A4:I397,7,FALSE)</f>
        <v>QUEUED</v>
      </c>
    </row>
    <row collapsed="false" customFormat="false" customHeight="true" hidden="false" ht="35.05" outlineLevel="0" r="396">
      <c r="A396" s="6" t="s">
        <v>953</v>
      </c>
      <c r="B396" s="6" t="s">
        <v>820</v>
      </c>
      <c r="C396" s="6"/>
      <c r="D396" s="6" t="s">
        <v>54</v>
      </c>
      <c r="E396" s="6" t="s">
        <v>183</v>
      </c>
      <c r="F396" s="6"/>
      <c r="G396" s="6" t="s">
        <v>14</v>
      </c>
      <c r="H396" s="7" t="n">
        <v>43262.0003902199</v>
      </c>
      <c r="I396" s="8" t="n">
        <v>43262.0003902199</v>
      </c>
      <c r="J396" s="7" t="n">
        <v>43255.4747455208</v>
      </c>
      <c r="K396" s="8" t="n">
        <v>43255.4747455208</v>
      </c>
      <c r="L396" s="6" t="s">
        <v>15</v>
      </c>
      <c r="M396" s="6"/>
      <c r="N396" s="6"/>
      <c r="O396" s="6"/>
      <c r="P396" s="6" t="s">
        <v>16</v>
      </c>
      <c r="Q396" s="0" t="n">
        <f>TODAY()-j396</f>
        <v>14.525254479201976</v>
      </c>
      <c r="R396" t="str">
        <f>VLOOKUP(A396,'Last Week'!A4:I397,7,FALSE)</f>
        <v>QUEUED</v>
      </c>
    </row>
    <row collapsed="false" customFormat="false" customHeight="true" hidden="false" ht="23.85" outlineLevel="0" r="397">
      <c r="A397" s="6" t="s">
        <v>954</v>
      </c>
      <c r="B397" s="6" t="s">
        <v>955</v>
      </c>
      <c r="C397" s="6"/>
      <c r="D397" s="6" t="s">
        <v>956</v>
      </c>
      <c r="E397" s="6" t="s">
        <v>72</v>
      </c>
      <c r="F397" s="6"/>
      <c r="G397" s="6" t="s">
        <v>14</v>
      </c>
      <c r="H397" s="7" t="n">
        <v>43259.0838933912</v>
      </c>
      <c r="I397" s="8" t="n">
        <v>43259.0838933912</v>
      </c>
      <c r="J397" s="7" t="n">
        <v>43255.512008831</v>
      </c>
      <c r="K397" s="8" t="n">
        <v>43255.512008831</v>
      </c>
      <c r="L397" s="6" t="s">
        <v>15</v>
      </c>
      <c r="M397" s="6"/>
      <c r="N397" s="6"/>
      <c r="O397" s="6"/>
      <c r="P397" s="6" t="s">
        <v>16</v>
      </c>
      <c r="Q397" s="0" t="n">
        <f>TODAY()-j397</f>
        <v>14.487991169000452</v>
      </c>
      <c r="R397" t="str">
        <f>VLOOKUP(A397,'Last Week'!A4:I397,7,FALSE)</f>
        <v>CLOSED</v>
      </c>
    </row>
    <row collapsed="false" customFormat="false" customHeight="true" hidden="false" ht="23.85" outlineLevel="0" r="398">
      <c r="A398" s="6" t="s">
        <v>957</v>
      </c>
      <c r="B398" s="6" t="s">
        <v>958</v>
      </c>
      <c r="C398" s="6"/>
      <c r="D398" s="6" t="s">
        <v>959</v>
      </c>
      <c r="E398" s="6" t="s">
        <v>72</v>
      </c>
      <c r="F398" s="6"/>
      <c r="G398" s="6" t="s">
        <v>960</v>
      </c>
      <c r="H398" s="7" t="n">
        <v>43263.436359838</v>
      </c>
      <c r="I398" s="8" t="n">
        <v>43263.436359838</v>
      </c>
      <c r="J398" s="7" t="n">
        <v>43259.6176002894</v>
      </c>
      <c r="K398" s="8" t="n">
        <v>43259.6176002894</v>
      </c>
      <c r="L398" s="6" t="s">
        <v>15</v>
      </c>
      <c r="M398" s="6"/>
      <c r="N398" s="6"/>
      <c r="O398" s="6"/>
      <c r="P398" s="6" t="s">
        <v>16</v>
      </c>
      <c r="Q398" s="0" t="n">
        <f>TODAY()-j398</f>
        <v>10.382399710601021</v>
      </c>
      <c r="R398" t="e">
        <f>VLOOKUP(A398,'Last Week'!A4:I397,7,FALSE)</f>
        <v>#N/A</v>
      </c>
    </row>
    <row collapsed="false" customFormat="false" customHeight="true" hidden="false" ht="23.85" outlineLevel="0" r="399">
      <c r="A399" s="6" t="s">
        <v>961</v>
      </c>
      <c r="B399" s="6" t="s">
        <v>962</v>
      </c>
      <c r="C399" s="6"/>
      <c r="D399" s="6" t="s">
        <v>963</v>
      </c>
      <c r="E399" s="6" t="s">
        <v>55</v>
      </c>
      <c r="F399" s="6"/>
      <c r="G399" s="6" t="s">
        <v>960</v>
      </c>
      <c r="H399" s="7" t="n">
        <v>43263.4063292014</v>
      </c>
      <c r="I399" s="8" t="n">
        <v>43263.4063292014</v>
      </c>
      <c r="J399" s="7" t="n">
        <v>43259.6868819907</v>
      </c>
      <c r="K399" s="8" t="n">
        <v>43259.6868819907</v>
      </c>
      <c r="L399" s="6" t="s">
        <v>15</v>
      </c>
      <c r="M399" s="6"/>
      <c r="N399" s="6"/>
      <c r="O399" s="6"/>
      <c r="P399" s="6" t="s">
        <v>16</v>
      </c>
      <c r="Q399" s="0" t="n">
        <f>TODAY()-j399</f>
        <v>10.313118009296886</v>
      </c>
      <c r="R399" t="e">
        <f>VLOOKUP(A399,'Last Week'!A4:I397,7,FALSE)</f>
        <v>#N/A</v>
      </c>
    </row>
    <row collapsed="false" customFormat="false" customHeight="true" hidden="false" ht="13.8" outlineLevel="0" r="400">
      <c r="A400" s="9" t="s">
        <v>964</v>
      </c>
      <c r="B400" s="9"/>
      <c r="C400" s="10" t="n">
        <v>396</v>
      </c>
      <c r="D400" s="10"/>
      <c r="E400" s="10"/>
      <c r="F400" s="10"/>
      <c r="G400" s="10"/>
      <c r="H400" s="10"/>
      <c r="I400" s="10"/>
      <c r="J400" s="10"/>
      <c r="K400" s="10"/>
      <c r="L400" s="10"/>
      <c r="M400" s="10"/>
      <c r="N400" s="10"/>
      <c r="O400" s="10"/>
      <c r="P400" s="10"/>
    </row>
    <row collapsed="false" customFormat="false" customHeight="false" hidden="false" ht="13.8" outlineLevel="0" r="401">
      <c r="A401" s="11"/>
      <c r="B401" s="11"/>
      <c r="C401" s="11"/>
      <c r="D401" s="11"/>
      <c r="E401" s="11"/>
      <c r="F401" s="11"/>
      <c r="G401" s="11"/>
      <c r="H401" s="11"/>
      <c r="I401" s="11"/>
      <c r="J401" s="11"/>
      <c r="K401" s="11"/>
      <c r="L401" s="11"/>
      <c r="M401" s="11"/>
      <c r="N401" s="11"/>
      <c r="O401" s="11"/>
      <c r="P401" s="11"/>
    </row>
    <row collapsed="false" customFormat="false" customHeight="true" hidden="false" ht="13.8" outlineLevel="0" r="402">
      <c r="A402" s="12" t="s">
        <v>965</v>
      </c>
      <c r="B402" s="12"/>
      <c r="C402" s="2" t="s">
        <v>966</v>
      </c>
      <c r="D402" s="2"/>
      <c r="E402" s="2"/>
      <c r="F402" s="2"/>
      <c r="G402" s="2"/>
      <c r="H402" s="2"/>
      <c r="I402" s="2"/>
      <c r="J402" s="2"/>
      <c r="K402" s="2"/>
      <c r="L402" s="2"/>
      <c r="M402" s="2"/>
      <c r="N402" s="2"/>
      <c r="O402" s="2"/>
      <c r="P402" s="2"/>
    </row>
    <row collapsed="false" customFormat="false" customHeight="true" hidden="false" ht="23.85" outlineLevel="0" r="403">
      <c r="A403" s="11" t="s">
        <v>967</v>
      </c>
      <c r="B403" s="11"/>
      <c r="C403" s="13"/>
      <c r="D403" s="13"/>
      <c r="E403" s="13"/>
      <c r="F403" s="13"/>
      <c r="G403" s="13"/>
      <c r="H403" s="13"/>
      <c r="I403" s="13"/>
      <c r="J403" s="13"/>
      <c r="K403" s="13"/>
      <c r="L403" s="13"/>
      <c r="M403" s="13"/>
      <c r="N403" s="13"/>
      <c r="O403" s="13"/>
      <c r="P403" s="13"/>
    </row>
    <row collapsed="false" customFormat="false" customHeight="true" hidden="false" ht="13.8" outlineLevel="0" r="404">
      <c r="A404" s="2" t="s">
        <v>968</v>
      </c>
      <c r="B404" s="2"/>
      <c r="C404" s="2"/>
      <c r="D404" s="2"/>
      <c r="E404" s="2"/>
      <c r="F404" s="3" t="s">
        <v>969</v>
      </c>
      <c r="G404" s="3"/>
      <c r="H404" s="3"/>
      <c r="I404" s="3"/>
      <c r="J404" s="3"/>
      <c r="K404" s="3"/>
      <c r="L404" s="3"/>
      <c r="M404" s="3" t="s">
        <v>970</v>
      </c>
      <c r="N404" s="3" t="s">
        <v>969</v>
      </c>
    </row>
  </sheetData>
  <autoFilter ref="A3:P400"/>
  <mergeCells count="1208">
    <mergeCell ref="A1:E1"/>
    <mergeCell ref="F1:N1"/>
    <mergeCell ref="A2:P2"/>
    <mergeCell ref="B3:C3"/>
    <mergeCell ref="E3:F3"/>
    <mergeCell ref="H3:I3"/>
    <mergeCell ref="J3:K3"/>
    <mergeCell ref="L3:O3"/>
    <mergeCell ref="B4:C4"/>
    <mergeCell ref="E4:F4"/>
    <mergeCell ref="L4:O4"/>
    <mergeCell ref="B5:C5"/>
    <mergeCell ref="E5:F5"/>
    <mergeCell ref="L5:O5"/>
    <mergeCell ref="B6:C6"/>
    <mergeCell ref="E6:F6"/>
    <mergeCell ref="L6:O6"/>
    <mergeCell ref="B7:C7"/>
    <mergeCell ref="E7:F7"/>
    <mergeCell ref="L7:O7"/>
    <mergeCell ref="B8:C8"/>
    <mergeCell ref="E8:F8"/>
    <mergeCell ref="L8:O8"/>
    <mergeCell ref="B9:C9"/>
    <mergeCell ref="E9:F9"/>
    <mergeCell ref="L9:O9"/>
    <mergeCell ref="B10:C10"/>
    <mergeCell ref="E10:F10"/>
    <mergeCell ref="L10:O10"/>
    <mergeCell ref="B11:C11"/>
    <mergeCell ref="E11:F11"/>
    <mergeCell ref="L11:O11"/>
    <mergeCell ref="B12:C12"/>
    <mergeCell ref="E12:F12"/>
    <mergeCell ref="L12:O12"/>
    <mergeCell ref="B13:C13"/>
    <mergeCell ref="E13:F13"/>
    <mergeCell ref="L13:O13"/>
    <mergeCell ref="B14:C14"/>
    <mergeCell ref="E14:F14"/>
    <mergeCell ref="L14:O14"/>
    <mergeCell ref="B15:C15"/>
    <mergeCell ref="E15:F15"/>
    <mergeCell ref="L15:O15"/>
    <mergeCell ref="B16:C16"/>
    <mergeCell ref="E16:F16"/>
    <mergeCell ref="L16:O16"/>
    <mergeCell ref="B17:C17"/>
    <mergeCell ref="E17:F17"/>
    <mergeCell ref="L17:O17"/>
    <mergeCell ref="B18:C18"/>
    <mergeCell ref="E18:F18"/>
    <mergeCell ref="L18:O18"/>
    <mergeCell ref="B19:C19"/>
    <mergeCell ref="E19:F19"/>
    <mergeCell ref="L19:O19"/>
    <mergeCell ref="B20:C20"/>
    <mergeCell ref="E20:F20"/>
    <mergeCell ref="L20:O20"/>
    <mergeCell ref="B21:C21"/>
    <mergeCell ref="E21:F21"/>
    <mergeCell ref="L21:O21"/>
    <mergeCell ref="B22:C22"/>
    <mergeCell ref="E22:F22"/>
    <mergeCell ref="L22:O22"/>
    <mergeCell ref="B23:C23"/>
    <mergeCell ref="E23:F23"/>
    <mergeCell ref="L23:O23"/>
    <mergeCell ref="B24:C24"/>
    <mergeCell ref="E24:F24"/>
    <mergeCell ref="L24:O24"/>
    <mergeCell ref="B25:C25"/>
    <mergeCell ref="E25:F25"/>
    <mergeCell ref="L25:O25"/>
    <mergeCell ref="B26:C26"/>
    <mergeCell ref="E26:F26"/>
    <mergeCell ref="L26:O26"/>
    <mergeCell ref="B27:C27"/>
    <mergeCell ref="E27:F27"/>
    <mergeCell ref="L27:O27"/>
    <mergeCell ref="B28:C28"/>
    <mergeCell ref="E28:F28"/>
    <mergeCell ref="L28:O28"/>
    <mergeCell ref="B29:C29"/>
    <mergeCell ref="E29:F29"/>
    <mergeCell ref="L29:O29"/>
    <mergeCell ref="B30:C30"/>
    <mergeCell ref="E30:F30"/>
    <mergeCell ref="L30:O30"/>
    <mergeCell ref="B31:C31"/>
    <mergeCell ref="E31:F31"/>
    <mergeCell ref="L31:O31"/>
    <mergeCell ref="B32:C32"/>
    <mergeCell ref="E32:F32"/>
    <mergeCell ref="L32:O32"/>
    <mergeCell ref="B33:C33"/>
    <mergeCell ref="E33:F33"/>
    <mergeCell ref="L33:O33"/>
    <mergeCell ref="B34:C34"/>
    <mergeCell ref="E34:F34"/>
    <mergeCell ref="L34:O34"/>
    <mergeCell ref="B35:C35"/>
    <mergeCell ref="E35:F35"/>
    <mergeCell ref="L35:O35"/>
    <mergeCell ref="B36:C36"/>
    <mergeCell ref="E36:F36"/>
    <mergeCell ref="L36:O36"/>
    <mergeCell ref="B37:C37"/>
    <mergeCell ref="E37:F37"/>
    <mergeCell ref="L37:O37"/>
    <mergeCell ref="B38:C38"/>
    <mergeCell ref="E38:F38"/>
    <mergeCell ref="L38:O38"/>
    <mergeCell ref="B39:C39"/>
    <mergeCell ref="E39:F39"/>
    <mergeCell ref="L39:O39"/>
    <mergeCell ref="B40:C40"/>
    <mergeCell ref="E40:F40"/>
    <mergeCell ref="L40:O40"/>
    <mergeCell ref="B41:C41"/>
    <mergeCell ref="E41:F41"/>
    <mergeCell ref="L41:O41"/>
    <mergeCell ref="B42:C42"/>
    <mergeCell ref="E42:F42"/>
    <mergeCell ref="L42:O42"/>
    <mergeCell ref="B43:C43"/>
    <mergeCell ref="E43:F43"/>
    <mergeCell ref="L43:O43"/>
    <mergeCell ref="B44:C44"/>
    <mergeCell ref="E44:F44"/>
    <mergeCell ref="L44:O44"/>
    <mergeCell ref="B45:C45"/>
    <mergeCell ref="E45:F45"/>
    <mergeCell ref="L45:O45"/>
    <mergeCell ref="B46:C46"/>
    <mergeCell ref="E46:F46"/>
    <mergeCell ref="L46:O46"/>
    <mergeCell ref="B47:C47"/>
    <mergeCell ref="E47:F47"/>
    <mergeCell ref="L47:O47"/>
    <mergeCell ref="B48:C48"/>
    <mergeCell ref="E48:F48"/>
    <mergeCell ref="L48:O48"/>
    <mergeCell ref="B49:C49"/>
    <mergeCell ref="E49:F49"/>
    <mergeCell ref="L49:O49"/>
    <mergeCell ref="B50:C50"/>
    <mergeCell ref="E50:F50"/>
    <mergeCell ref="L50:O50"/>
    <mergeCell ref="B51:C51"/>
    <mergeCell ref="E51:F51"/>
    <mergeCell ref="L51:O51"/>
    <mergeCell ref="B52:C52"/>
    <mergeCell ref="E52:F52"/>
    <mergeCell ref="L52:O52"/>
    <mergeCell ref="B53:C53"/>
    <mergeCell ref="E53:F53"/>
    <mergeCell ref="L53:O53"/>
    <mergeCell ref="B54:C54"/>
    <mergeCell ref="E54:F54"/>
    <mergeCell ref="L54:O54"/>
    <mergeCell ref="B55:C55"/>
    <mergeCell ref="E55:F55"/>
    <mergeCell ref="L55:O55"/>
    <mergeCell ref="B56:C56"/>
    <mergeCell ref="E56:F56"/>
    <mergeCell ref="L56:O56"/>
    <mergeCell ref="B57:C57"/>
    <mergeCell ref="E57:F57"/>
    <mergeCell ref="L57:O57"/>
    <mergeCell ref="B58:C58"/>
    <mergeCell ref="E58:F58"/>
    <mergeCell ref="L58:O58"/>
    <mergeCell ref="B59:C59"/>
    <mergeCell ref="E59:F59"/>
    <mergeCell ref="L59:O59"/>
    <mergeCell ref="B60:C60"/>
    <mergeCell ref="E60:F60"/>
    <mergeCell ref="L60:O60"/>
    <mergeCell ref="B61:C61"/>
    <mergeCell ref="E61:F61"/>
    <mergeCell ref="L61:O61"/>
    <mergeCell ref="B62:C62"/>
    <mergeCell ref="E62:F62"/>
    <mergeCell ref="L62:O62"/>
    <mergeCell ref="B63:C63"/>
    <mergeCell ref="E63:F63"/>
    <mergeCell ref="L63:O63"/>
    <mergeCell ref="B64:C64"/>
    <mergeCell ref="E64:F64"/>
    <mergeCell ref="L64:O64"/>
    <mergeCell ref="B65:C65"/>
    <mergeCell ref="E65:F65"/>
    <mergeCell ref="L65:O65"/>
    <mergeCell ref="B66:C66"/>
    <mergeCell ref="E66:F66"/>
    <mergeCell ref="L66:O66"/>
    <mergeCell ref="B67:C67"/>
    <mergeCell ref="E67:F67"/>
    <mergeCell ref="L67:O67"/>
    <mergeCell ref="B68:C68"/>
    <mergeCell ref="E68:F68"/>
    <mergeCell ref="L68:O68"/>
    <mergeCell ref="B69:C69"/>
    <mergeCell ref="E69:F69"/>
    <mergeCell ref="L69:O69"/>
    <mergeCell ref="B70:C70"/>
    <mergeCell ref="E70:F70"/>
    <mergeCell ref="L70:O70"/>
    <mergeCell ref="B71:C71"/>
    <mergeCell ref="E71:F71"/>
    <mergeCell ref="L71:O71"/>
    <mergeCell ref="B72:C72"/>
    <mergeCell ref="E72:F72"/>
    <mergeCell ref="L72:O72"/>
    <mergeCell ref="B73:C73"/>
    <mergeCell ref="E73:F73"/>
    <mergeCell ref="L73:O73"/>
    <mergeCell ref="B74:C74"/>
    <mergeCell ref="E74:F74"/>
    <mergeCell ref="L74:O74"/>
    <mergeCell ref="B75:C75"/>
    <mergeCell ref="E75:F75"/>
    <mergeCell ref="L75:O75"/>
    <mergeCell ref="B76:C76"/>
    <mergeCell ref="E76:F76"/>
    <mergeCell ref="L76:O76"/>
    <mergeCell ref="B77:C77"/>
    <mergeCell ref="E77:F77"/>
    <mergeCell ref="L77:O77"/>
    <mergeCell ref="B78:C78"/>
    <mergeCell ref="E78:F78"/>
    <mergeCell ref="L78:O78"/>
    <mergeCell ref="B79:C79"/>
    <mergeCell ref="E79:F79"/>
    <mergeCell ref="L79:O79"/>
    <mergeCell ref="B80:C80"/>
    <mergeCell ref="E80:F80"/>
    <mergeCell ref="L80:O80"/>
    <mergeCell ref="B81:C81"/>
    <mergeCell ref="E81:F81"/>
    <mergeCell ref="L81:O81"/>
    <mergeCell ref="B82:C82"/>
    <mergeCell ref="E82:F82"/>
    <mergeCell ref="L82:O82"/>
    <mergeCell ref="B83:C83"/>
    <mergeCell ref="E83:F83"/>
    <mergeCell ref="L83:O83"/>
    <mergeCell ref="B84:C84"/>
    <mergeCell ref="E84:F84"/>
    <mergeCell ref="L84:O84"/>
    <mergeCell ref="B85:C85"/>
    <mergeCell ref="E85:F85"/>
    <mergeCell ref="L85:O85"/>
    <mergeCell ref="B86:C86"/>
    <mergeCell ref="E86:F86"/>
    <mergeCell ref="L86:O86"/>
    <mergeCell ref="B87:C87"/>
    <mergeCell ref="E87:F87"/>
    <mergeCell ref="L87:O87"/>
    <mergeCell ref="B88:C88"/>
    <mergeCell ref="E88:F88"/>
    <mergeCell ref="L88:O88"/>
    <mergeCell ref="B89:C89"/>
    <mergeCell ref="E89:F89"/>
    <mergeCell ref="L89:O89"/>
    <mergeCell ref="B90:C90"/>
    <mergeCell ref="E90:F90"/>
    <mergeCell ref="L90:O90"/>
    <mergeCell ref="B91:C91"/>
    <mergeCell ref="E91:F91"/>
    <mergeCell ref="L91:O91"/>
    <mergeCell ref="B92:C92"/>
    <mergeCell ref="E92:F92"/>
    <mergeCell ref="L92:O92"/>
    <mergeCell ref="B93:C93"/>
    <mergeCell ref="E93:F93"/>
    <mergeCell ref="L93:O93"/>
    <mergeCell ref="B94:C94"/>
    <mergeCell ref="E94:F94"/>
    <mergeCell ref="L94:O94"/>
    <mergeCell ref="B95:C95"/>
    <mergeCell ref="E95:F95"/>
    <mergeCell ref="L95:O95"/>
    <mergeCell ref="B96:C96"/>
    <mergeCell ref="E96:F96"/>
    <mergeCell ref="L96:O96"/>
    <mergeCell ref="B97:C97"/>
    <mergeCell ref="E97:F97"/>
    <mergeCell ref="L97:O97"/>
    <mergeCell ref="B98:C98"/>
    <mergeCell ref="E98:F98"/>
    <mergeCell ref="L98:O98"/>
    <mergeCell ref="B99:C99"/>
    <mergeCell ref="E99:F99"/>
    <mergeCell ref="L99:O99"/>
    <mergeCell ref="B100:C100"/>
    <mergeCell ref="E100:F100"/>
    <mergeCell ref="L100:O100"/>
    <mergeCell ref="B101:C101"/>
    <mergeCell ref="E101:F101"/>
    <mergeCell ref="L101:O101"/>
    <mergeCell ref="B102:C102"/>
    <mergeCell ref="E102:F102"/>
    <mergeCell ref="L102:O102"/>
    <mergeCell ref="B103:C103"/>
    <mergeCell ref="E103:F103"/>
    <mergeCell ref="L103:O103"/>
    <mergeCell ref="B104:C104"/>
    <mergeCell ref="E104:F104"/>
    <mergeCell ref="L104:O104"/>
    <mergeCell ref="B105:C105"/>
    <mergeCell ref="E105:F105"/>
    <mergeCell ref="L105:O105"/>
    <mergeCell ref="B106:C106"/>
    <mergeCell ref="E106:F106"/>
    <mergeCell ref="L106:O106"/>
    <mergeCell ref="B107:C107"/>
    <mergeCell ref="E107:F107"/>
    <mergeCell ref="L107:O107"/>
    <mergeCell ref="B108:C108"/>
    <mergeCell ref="E108:F108"/>
    <mergeCell ref="L108:O108"/>
    <mergeCell ref="B109:C109"/>
    <mergeCell ref="E109:F109"/>
    <mergeCell ref="L109:O109"/>
    <mergeCell ref="B110:C110"/>
    <mergeCell ref="E110:F110"/>
    <mergeCell ref="L110:O110"/>
    <mergeCell ref="B111:C111"/>
    <mergeCell ref="E111:F111"/>
    <mergeCell ref="L111:O111"/>
    <mergeCell ref="B112:C112"/>
    <mergeCell ref="E112:F112"/>
    <mergeCell ref="L112:O112"/>
    <mergeCell ref="B113:C113"/>
    <mergeCell ref="E113:F113"/>
    <mergeCell ref="L113:O113"/>
    <mergeCell ref="B114:C114"/>
    <mergeCell ref="E114:F114"/>
    <mergeCell ref="L114:O114"/>
    <mergeCell ref="B115:C115"/>
    <mergeCell ref="E115:F115"/>
    <mergeCell ref="L115:O115"/>
    <mergeCell ref="B116:C116"/>
    <mergeCell ref="E116:F116"/>
    <mergeCell ref="L116:O116"/>
    <mergeCell ref="B117:C117"/>
    <mergeCell ref="E117:F117"/>
    <mergeCell ref="L117:O117"/>
    <mergeCell ref="B118:C118"/>
    <mergeCell ref="E118:F118"/>
    <mergeCell ref="L118:O118"/>
    <mergeCell ref="B119:C119"/>
    <mergeCell ref="E119:F119"/>
    <mergeCell ref="L119:O119"/>
    <mergeCell ref="B120:C120"/>
    <mergeCell ref="E120:F120"/>
    <mergeCell ref="L120:O120"/>
    <mergeCell ref="B121:C121"/>
    <mergeCell ref="E121:F121"/>
    <mergeCell ref="L121:O121"/>
    <mergeCell ref="B122:C122"/>
    <mergeCell ref="E122:F122"/>
    <mergeCell ref="L122:O122"/>
    <mergeCell ref="B123:C123"/>
    <mergeCell ref="E123:F123"/>
    <mergeCell ref="L123:O123"/>
    <mergeCell ref="B124:C124"/>
    <mergeCell ref="E124:F124"/>
    <mergeCell ref="L124:O124"/>
    <mergeCell ref="B125:C125"/>
    <mergeCell ref="E125:F125"/>
    <mergeCell ref="L125:O125"/>
    <mergeCell ref="B126:C126"/>
    <mergeCell ref="E126:F126"/>
    <mergeCell ref="L126:O126"/>
    <mergeCell ref="B127:C127"/>
    <mergeCell ref="E127:F127"/>
    <mergeCell ref="L127:O127"/>
    <mergeCell ref="B128:C128"/>
    <mergeCell ref="E128:F128"/>
    <mergeCell ref="L128:O128"/>
    <mergeCell ref="B129:C129"/>
    <mergeCell ref="E129:F129"/>
    <mergeCell ref="L129:O129"/>
    <mergeCell ref="B130:C130"/>
    <mergeCell ref="E130:F130"/>
    <mergeCell ref="L130:O130"/>
    <mergeCell ref="B131:C131"/>
    <mergeCell ref="E131:F131"/>
    <mergeCell ref="L131:O131"/>
    <mergeCell ref="B132:C132"/>
    <mergeCell ref="E132:F132"/>
    <mergeCell ref="L132:O132"/>
    <mergeCell ref="B133:C133"/>
    <mergeCell ref="E133:F133"/>
    <mergeCell ref="L133:O133"/>
    <mergeCell ref="B134:C134"/>
    <mergeCell ref="E134:F134"/>
    <mergeCell ref="L134:O134"/>
    <mergeCell ref="B135:C135"/>
    <mergeCell ref="E135:F135"/>
    <mergeCell ref="L135:O135"/>
    <mergeCell ref="B136:C136"/>
    <mergeCell ref="E136:F136"/>
    <mergeCell ref="L136:O136"/>
    <mergeCell ref="B137:C137"/>
    <mergeCell ref="E137:F137"/>
    <mergeCell ref="L137:O137"/>
    <mergeCell ref="B138:C138"/>
    <mergeCell ref="E138:F138"/>
    <mergeCell ref="L138:O138"/>
    <mergeCell ref="B139:C139"/>
    <mergeCell ref="E139:F139"/>
    <mergeCell ref="L139:O139"/>
    <mergeCell ref="B140:C140"/>
    <mergeCell ref="E140:F140"/>
    <mergeCell ref="L140:O140"/>
    <mergeCell ref="B141:C141"/>
    <mergeCell ref="E141:F141"/>
    <mergeCell ref="L141:O141"/>
    <mergeCell ref="B142:C142"/>
    <mergeCell ref="E142:F142"/>
    <mergeCell ref="L142:O142"/>
    <mergeCell ref="B143:C143"/>
    <mergeCell ref="E143:F143"/>
    <mergeCell ref="L143:O143"/>
    <mergeCell ref="B144:C144"/>
    <mergeCell ref="E144:F144"/>
    <mergeCell ref="L144:O144"/>
    <mergeCell ref="B145:C145"/>
    <mergeCell ref="E145:F145"/>
    <mergeCell ref="L145:O145"/>
    <mergeCell ref="B146:C146"/>
    <mergeCell ref="E146:F146"/>
    <mergeCell ref="L146:O146"/>
    <mergeCell ref="B147:C147"/>
    <mergeCell ref="E147:F147"/>
    <mergeCell ref="L147:O147"/>
    <mergeCell ref="B148:C148"/>
    <mergeCell ref="E148:F148"/>
    <mergeCell ref="L148:O148"/>
    <mergeCell ref="B149:C149"/>
    <mergeCell ref="E149:F149"/>
    <mergeCell ref="L149:O149"/>
    <mergeCell ref="B150:C150"/>
    <mergeCell ref="E150:F150"/>
    <mergeCell ref="L150:O150"/>
    <mergeCell ref="B151:C151"/>
    <mergeCell ref="E151:F151"/>
    <mergeCell ref="L151:O151"/>
    <mergeCell ref="B152:C152"/>
    <mergeCell ref="E152:F152"/>
    <mergeCell ref="L152:O152"/>
    <mergeCell ref="B153:C153"/>
    <mergeCell ref="E153:F153"/>
    <mergeCell ref="L153:O153"/>
    <mergeCell ref="B154:C154"/>
    <mergeCell ref="E154:F154"/>
    <mergeCell ref="L154:O154"/>
    <mergeCell ref="B155:C155"/>
    <mergeCell ref="E155:F155"/>
    <mergeCell ref="L155:O155"/>
    <mergeCell ref="B156:C156"/>
    <mergeCell ref="E156:F156"/>
    <mergeCell ref="L156:O156"/>
    <mergeCell ref="B157:C157"/>
    <mergeCell ref="E157:F157"/>
    <mergeCell ref="L157:O157"/>
    <mergeCell ref="B158:C158"/>
    <mergeCell ref="E158:F158"/>
    <mergeCell ref="L158:O158"/>
    <mergeCell ref="B159:C159"/>
    <mergeCell ref="E159:F159"/>
    <mergeCell ref="L159:O159"/>
    <mergeCell ref="B160:C160"/>
    <mergeCell ref="E160:F160"/>
    <mergeCell ref="L160:O160"/>
    <mergeCell ref="B161:C161"/>
    <mergeCell ref="E161:F161"/>
    <mergeCell ref="L161:O161"/>
    <mergeCell ref="B162:C162"/>
    <mergeCell ref="E162:F162"/>
    <mergeCell ref="L162:O162"/>
    <mergeCell ref="B163:C163"/>
    <mergeCell ref="E163:F163"/>
    <mergeCell ref="L163:O163"/>
    <mergeCell ref="B164:C164"/>
    <mergeCell ref="E164:F164"/>
    <mergeCell ref="L164:O164"/>
    <mergeCell ref="B165:C165"/>
    <mergeCell ref="E165:F165"/>
    <mergeCell ref="L165:O165"/>
    <mergeCell ref="B166:C166"/>
    <mergeCell ref="E166:F166"/>
    <mergeCell ref="L166:O166"/>
    <mergeCell ref="B167:C167"/>
    <mergeCell ref="E167:F167"/>
    <mergeCell ref="L167:O167"/>
    <mergeCell ref="B168:C168"/>
    <mergeCell ref="E168:F168"/>
    <mergeCell ref="L168:O168"/>
    <mergeCell ref="B169:C169"/>
    <mergeCell ref="E169:F169"/>
    <mergeCell ref="L169:O169"/>
    <mergeCell ref="B170:C170"/>
    <mergeCell ref="E170:F170"/>
    <mergeCell ref="L170:O170"/>
    <mergeCell ref="B171:C171"/>
    <mergeCell ref="E171:F171"/>
    <mergeCell ref="L171:O171"/>
    <mergeCell ref="B172:C172"/>
    <mergeCell ref="E172:F172"/>
    <mergeCell ref="L172:O172"/>
    <mergeCell ref="B173:C173"/>
    <mergeCell ref="E173:F173"/>
    <mergeCell ref="L173:O173"/>
    <mergeCell ref="B174:C174"/>
    <mergeCell ref="E174:F174"/>
    <mergeCell ref="L174:O174"/>
    <mergeCell ref="B175:C175"/>
    <mergeCell ref="E175:F175"/>
    <mergeCell ref="L175:O175"/>
    <mergeCell ref="B176:C176"/>
    <mergeCell ref="E176:F176"/>
    <mergeCell ref="L176:O176"/>
    <mergeCell ref="B177:C177"/>
    <mergeCell ref="E177:F177"/>
    <mergeCell ref="L177:O177"/>
    <mergeCell ref="B178:C178"/>
    <mergeCell ref="E178:F178"/>
    <mergeCell ref="L178:O178"/>
    <mergeCell ref="B179:C179"/>
    <mergeCell ref="E179:F179"/>
    <mergeCell ref="L179:O179"/>
    <mergeCell ref="B180:C180"/>
    <mergeCell ref="E180:F180"/>
    <mergeCell ref="L180:O180"/>
    <mergeCell ref="B181:C181"/>
    <mergeCell ref="E181:F181"/>
    <mergeCell ref="L181:O181"/>
    <mergeCell ref="B182:C182"/>
    <mergeCell ref="E182:F182"/>
    <mergeCell ref="L182:O182"/>
    <mergeCell ref="B183:C183"/>
    <mergeCell ref="E183:F183"/>
    <mergeCell ref="L183:O183"/>
    <mergeCell ref="B184:C184"/>
    <mergeCell ref="E184:F184"/>
    <mergeCell ref="L184:O184"/>
    <mergeCell ref="B185:C185"/>
    <mergeCell ref="E185:F185"/>
    <mergeCell ref="L185:O185"/>
    <mergeCell ref="B186:C186"/>
    <mergeCell ref="E186:F186"/>
    <mergeCell ref="L186:O186"/>
    <mergeCell ref="B187:C187"/>
    <mergeCell ref="E187:F187"/>
    <mergeCell ref="L187:O187"/>
    <mergeCell ref="B188:C188"/>
    <mergeCell ref="E188:F188"/>
    <mergeCell ref="L188:O188"/>
    <mergeCell ref="B189:C189"/>
    <mergeCell ref="E189:F189"/>
    <mergeCell ref="L189:O189"/>
    <mergeCell ref="B190:C190"/>
    <mergeCell ref="E190:F190"/>
    <mergeCell ref="L190:O190"/>
    <mergeCell ref="B191:C191"/>
    <mergeCell ref="E191:F191"/>
    <mergeCell ref="L191:O191"/>
    <mergeCell ref="B192:C192"/>
    <mergeCell ref="E192:F192"/>
    <mergeCell ref="L192:O192"/>
    <mergeCell ref="B193:C193"/>
    <mergeCell ref="E193:F193"/>
    <mergeCell ref="L193:O193"/>
    <mergeCell ref="B194:C194"/>
    <mergeCell ref="E194:F194"/>
    <mergeCell ref="L194:O194"/>
    <mergeCell ref="B195:C195"/>
    <mergeCell ref="E195:F195"/>
    <mergeCell ref="L195:O195"/>
    <mergeCell ref="B196:C196"/>
    <mergeCell ref="E196:F196"/>
    <mergeCell ref="L196:O196"/>
    <mergeCell ref="B197:C197"/>
    <mergeCell ref="E197:F197"/>
    <mergeCell ref="L197:O197"/>
    <mergeCell ref="B198:C198"/>
    <mergeCell ref="E198:F198"/>
    <mergeCell ref="L198:O198"/>
    <mergeCell ref="B199:C199"/>
    <mergeCell ref="E199:F199"/>
    <mergeCell ref="L199:O199"/>
    <mergeCell ref="B200:C200"/>
    <mergeCell ref="E200:F200"/>
    <mergeCell ref="L200:O200"/>
    <mergeCell ref="B201:C201"/>
    <mergeCell ref="E201:F201"/>
    <mergeCell ref="L201:O201"/>
    <mergeCell ref="B202:C202"/>
    <mergeCell ref="E202:F202"/>
    <mergeCell ref="L202:O202"/>
    <mergeCell ref="B203:C203"/>
    <mergeCell ref="E203:F203"/>
    <mergeCell ref="L203:O203"/>
    <mergeCell ref="B204:C204"/>
    <mergeCell ref="E204:F204"/>
    <mergeCell ref="L204:O204"/>
    <mergeCell ref="B205:C205"/>
    <mergeCell ref="E205:F205"/>
    <mergeCell ref="L205:O205"/>
    <mergeCell ref="B206:C206"/>
    <mergeCell ref="E206:F206"/>
    <mergeCell ref="L206:O206"/>
    <mergeCell ref="B207:C207"/>
    <mergeCell ref="E207:F207"/>
    <mergeCell ref="L207:O207"/>
    <mergeCell ref="B208:C208"/>
    <mergeCell ref="E208:F208"/>
    <mergeCell ref="L208:O208"/>
    <mergeCell ref="B209:C209"/>
    <mergeCell ref="E209:F209"/>
    <mergeCell ref="L209:O209"/>
    <mergeCell ref="B210:C210"/>
    <mergeCell ref="E210:F210"/>
    <mergeCell ref="L210:O210"/>
    <mergeCell ref="B211:C211"/>
    <mergeCell ref="E211:F211"/>
    <mergeCell ref="L211:O211"/>
    <mergeCell ref="B212:C212"/>
    <mergeCell ref="E212:F212"/>
    <mergeCell ref="L212:O212"/>
    <mergeCell ref="B213:C213"/>
    <mergeCell ref="E213:F213"/>
    <mergeCell ref="L213:O213"/>
    <mergeCell ref="B214:C214"/>
    <mergeCell ref="E214:F214"/>
    <mergeCell ref="L214:O214"/>
    <mergeCell ref="B215:C215"/>
    <mergeCell ref="E215:F215"/>
    <mergeCell ref="L215:O215"/>
    <mergeCell ref="B216:C216"/>
    <mergeCell ref="E216:F216"/>
    <mergeCell ref="L216:O216"/>
    <mergeCell ref="B217:C217"/>
    <mergeCell ref="E217:F217"/>
    <mergeCell ref="L217:O217"/>
    <mergeCell ref="B218:C218"/>
    <mergeCell ref="E218:F218"/>
    <mergeCell ref="L218:O218"/>
    <mergeCell ref="B219:C219"/>
    <mergeCell ref="E219:F219"/>
    <mergeCell ref="L219:O219"/>
    <mergeCell ref="B220:C220"/>
    <mergeCell ref="E220:F220"/>
    <mergeCell ref="L220:O220"/>
    <mergeCell ref="B221:C221"/>
    <mergeCell ref="E221:F221"/>
    <mergeCell ref="L221:O221"/>
    <mergeCell ref="B222:C222"/>
    <mergeCell ref="E222:F222"/>
    <mergeCell ref="L222:O222"/>
    <mergeCell ref="B223:C223"/>
    <mergeCell ref="E223:F223"/>
    <mergeCell ref="L223:O223"/>
    <mergeCell ref="B224:C224"/>
    <mergeCell ref="E224:F224"/>
    <mergeCell ref="L224:O224"/>
    <mergeCell ref="B225:C225"/>
    <mergeCell ref="E225:F225"/>
    <mergeCell ref="L225:O225"/>
    <mergeCell ref="B226:C226"/>
    <mergeCell ref="E226:F226"/>
    <mergeCell ref="L226:O226"/>
    <mergeCell ref="B227:C227"/>
    <mergeCell ref="E227:F227"/>
    <mergeCell ref="L227:O227"/>
    <mergeCell ref="B228:C228"/>
    <mergeCell ref="E228:F228"/>
    <mergeCell ref="L228:O228"/>
    <mergeCell ref="B229:C229"/>
    <mergeCell ref="E229:F229"/>
    <mergeCell ref="L229:O229"/>
    <mergeCell ref="B230:C230"/>
    <mergeCell ref="E230:F230"/>
    <mergeCell ref="L230:O230"/>
    <mergeCell ref="B231:C231"/>
    <mergeCell ref="E231:F231"/>
    <mergeCell ref="L231:O231"/>
    <mergeCell ref="B232:C232"/>
    <mergeCell ref="E232:F232"/>
    <mergeCell ref="L232:O232"/>
    <mergeCell ref="B233:C233"/>
    <mergeCell ref="E233:F233"/>
    <mergeCell ref="L233:O233"/>
    <mergeCell ref="B234:C234"/>
    <mergeCell ref="E234:F234"/>
    <mergeCell ref="L234:O234"/>
    <mergeCell ref="B235:C235"/>
    <mergeCell ref="E235:F235"/>
    <mergeCell ref="L235:O235"/>
    <mergeCell ref="B236:C236"/>
    <mergeCell ref="E236:F236"/>
    <mergeCell ref="L236:O236"/>
    <mergeCell ref="B237:C237"/>
    <mergeCell ref="E237:F237"/>
    <mergeCell ref="L237:O237"/>
    <mergeCell ref="B238:C238"/>
    <mergeCell ref="E238:F238"/>
    <mergeCell ref="L238:O238"/>
    <mergeCell ref="B239:C239"/>
    <mergeCell ref="E239:F239"/>
    <mergeCell ref="L239:O239"/>
    <mergeCell ref="B240:C240"/>
    <mergeCell ref="E240:F240"/>
    <mergeCell ref="L240:O240"/>
    <mergeCell ref="B241:C241"/>
    <mergeCell ref="E241:F241"/>
    <mergeCell ref="L241:O241"/>
    <mergeCell ref="B242:C242"/>
    <mergeCell ref="E242:F242"/>
    <mergeCell ref="L242:O242"/>
    <mergeCell ref="B243:C243"/>
    <mergeCell ref="E243:F243"/>
    <mergeCell ref="L243:O243"/>
    <mergeCell ref="B244:C244"/>
    <mergeCell ref="E244:F244"/>
    <mergeCell ref="L244:O244"/>
    <mergeCell ref="B245:C245"/>
    <mergeCell ref="E245:F245"/>
    <mergeCell ref="L245:O245"/>
    <mergeCell ref="B246:C246"/>
    <mergeCell ref="E246:F246"/>
    <mergeCell ref="L246:O246"/>
    <mergeCell ref="B247:C247"/>
    <mergeCell ref="E247:F247"/>
    <mergeCell ref="L247:O247"/>
    <mergeCell ref="B248:C248"/>
    <mergeCell ref="E248:F248"/>
    <mergeCell ref="L248:O248"/>
    <mergeCell ref="B249:C249"/>
    <mergeCell ref="E249:F249"/>
    <mergeCell ref="L249:O249"/>
    <mergeCell ref="B250:C250"/>
    <mergeCell ref="E250:F250"/>
    <mergeCell ref="L250:O250"/>
    <mergeCell ref="B251:C251"/>
    <mergeCell ref="E251:F251"/>
    <mergeCell ref="L251:O251"/>
    <mergeCell ref="B252:C252"/>
    <mergeCell ref="E252:F252"/>
    <mergeCell ref="L252:O252"/>
    <mergeCell ref="B253:C253"/>
    <mergeCell ref="E253:F253"/>
    <mergeCell ref="L253:O253"/>
    <mergeCell ref="B254:C254"/>
    <mergeCell ref="E254:F254"/>
    <mergeCell ref="L254:O254"/>
    <mergeCell ref="B255:C255"/>
    <mergeCell ref="E255:F255"/>
    <mergeCell ref="L255:O255"/>
    <mergeCell ref="B256:C256"/>
    <mergeCell ref="E256:F256"/>
    <mergeCell ref="L256:O256"/>
    <mergeCell ref="B257:C257"/>
    <mergeCell ref="E257:F257"/>
    <mergeCell ref="L257:O257"/>
    <mergeCell ref="B258:C258"/>
    <mergeCell ref="E258:F258"/>
    <mergeCell ref="L258:O258"/>
    <mergeCell ref="B259:C259"/>
    <mergeCell ref="E259:F259"/>
    <mergeCell ref="L259:O259"/>
    <mergeCell ref="B260:C260"/>
    <mergeCell ref="E260:F260"/>
    <mergeCell ref="L260:O260"/>
    <mergeCell ref="B261:C261"/>
    <mergeCell ref="E261:F261"/>
    <mergeCell ref="L261:O261"/>
    <mergeCell ref="B262:C262"/>
    <mergeCell ref="E262:F262"/>
    <mergeCell ref="L262:O262"/>
    <mergeCell ref="B263:C263"/>
    <mergeCell ref="E263:F263"/>
    <mergeCell ref="L263:O263"/>
    <mergeCell ref="B264:C264"/>
    <mergeCell ref="E264:F264"/>
    <mergeCell ref="L264:O264"/>
    <mergeCell ref="B265:C265"/>
    <mergeCell ref="E265:F265"/>
    <mergeCell ref="L265:O265"/>
    <mergeCell ref="B266:C266"/>
    <mergeCell ref="E266:F266"/>
    <mergeCell ref="L266:O266"/>
    <mergeCell ref="B267:C267"/>
    <mergeCell ref="E267:F267"/>
    <mergeCell ref="L267:O267"/>
    <mergeCell ref="B268:C268"/>
    <mergeCell ref="E268:F268"/>
    <mergeCell ref="L268:O268"/>
    <mergeCell ref="B269:C269"/>
    <mergeCell ref="E269:F269"/>
    <mergeCell ref="L269:O269"/>
    <mergeCell ref="B270:C270"/>
    <mergeCell ref="E270:F270"/>
    <mergeCell ref="L270:O270"/>
    <mergeCell ref="B271:C271"/>
    <mergeCell ref="E271:F271"/>
    <mergeCell ref="L271:O271"/>
    <mergeCell ref="B272:C272"/>
    <mergeCell ref="E272:F272"/>
    <mergeCell ref="L272:O272"/>
    <mergeCell ref="B273:C273"/>
    <mergeCell ref="E273:F273"/>
    <mergeCell ref="L273:O273"/>
    <mergeCell ref="B274:C274"/>
    <mergeCell ref="E274:F274"/>
    <mergeCell ref="L274:O274"/>
    <mergeCell ref="B275:C275"/>
    <mergeCell ref="E275:F275"/>
    <mergeCell ref="L275:O275"/>
    <mergeCell ref="B276:C276"/>
    <mergeCell ref="E276:F276"/>
    <mergeCell ref="L276:O276"/>
    <mergeCell ref="B277:C277"/>
    <mergeCell ref="E277:F277"/>
    <mergeCell ref="L277:O277"/>
    <mergeCell ref="B278:C278"/>
    <mergeCell ref="E278:F278"/>
    <mergeCell ref="L278:O278"/>
    <mergeCell ref="B279:C279"/>
    <mergeCell ref="E279:F279"/>
    <mergeCell ref="L279:O279"/>
    <mergeCell ref="B280:C280"/>
    <mergeCell ref="E280:F280"/>
    <mergeCell ref="L280:O280"/>
    <mergeCell ref="B281:C281"/>
    <mergeCell ref="E281:F281"/>
    <mergeCell ref="L281:O281"/>
    <mergeCell ref="B282:C282"/>
    <mergeCell ref="E282:F282"/>
    <mergeCell ref="L282:O282"/>
    <mergeCell ref="B283:C283"/>
    <mergeCell ref="E283:F283"/>
    <mergeCell ref="L283:O283"/>
    <mergeCell ref="B284:C284"/>
    <mergeCell ref="E284:F284"/>
    <mergeCell ref="L284:O284"/>
    <mergeCell ref="B285:C285"/>
    <mergeCell ref="E285:F285"/>
    <mergeCell ref="L285:O285"/>
    <mergeCell ref="B286:C286"/>
    <mergeCell ref="E286:F286"/>
    <mergeCell ref="L286:O286"/>
    <mergeCell ref="B287:C287"/>
    <mergeCell ref="E287:F287"/>
    <mergeCell ref="L287:O287"/>
    <mergeCell ref="B288:C288"/>
    <mergeCell ref="E288:F288"/>
    <mergeCell ref="L288:O288"/>
    <mergeCell ref="B289:C289"/>
    <mergeCell ref="E289:F289"/>
    <mergeCell ref="L289:O289"/>
    <mergeCell ref="B290:C290"/>
    <mergeCell ref="E290:F290"/>
    <mergeCell ref="L290:O290"/>
    <mergeCell ref="B291:C291"/>
    <mergeCell ref="E291:F291"/>
    <mergeCell ref="L291:O291"/>
    <mergeCell ref="B292:C292"/>
    <mergeCell ref="E292:F292"/>
    <mergeCell ref="L292:O292"/>
    <mergeCell ref="B293:C293"/>
    <mergeCell ref="E293:F293"/>
    <mergeCell ref="L293:O293"/>
    <mergeCell ref="B294:C294"/>
    <mergeCell ref="E294:F294"/>
    <mergeCell ref="L294:O294"/>
    <mergeCell ref="B295:C295"/>
    <mergeCell ref="E295:F295"/>
    <mergeCell ref="L295:O295"/>
    <mergeCell ref="B296:C296"/>
    <mergeCell ref="E296:F296"/>
    <mergeCell ref="L296:O296"/>
    <mergeCell ref="B297:C297"/>
    <mergeCell ref="E297:F297"/>
    <mergeCell ref="L297:O297"/>
    <mergeCell ref="B298:C298"/>
    <mergeCell ref="E298:F298"/>
    <mergeCell ref="L298:O298"/>
    <mergeCell ref="B299:C299"/>
    <mergeCell ref="E299:F299"/>
    <mergeCell ref="L299:O299"/>
    <mergeCell ref="B300:C300"/>
    <mergeCell ref="E300:F300"/>
    <mergeCell ref="L300:O300"/>
    <mergeCell ref="B301:C301"/>
    <mergeCell ref="E301:F301"/>
    <mergeCell ref="L301:O301"/>
    <mergeCell ref="B302:C302"/>
    <mergeCell ref="E302:F302"/>
    <mergeCell ref="L302:O302"/>
    <mergeCell ref="B303:C303"/>
    <mergeCell ref="E303:F303"/>
    <mergeCell ref="L303:O303"/>
    <mergeCell ref="B304:C304"/>
    <mergeCell ref="E304:F304"/>
    <mergeCell ref="L304:O304"/>
    <mergeCell ref="B305:C305"/>
    <mergeCell ref="E305:F305"/>
    <mergeCell ref="L305:O305"/>
    <mergeCell ref="B306:C306"/>
    <mergeCell ref="E306:F306"/>
    <mergeCell ref="L306:O306"/>
    <mergeCell ref="B307:C307"/>
    <mergeCell ref="E307:F307"/>
    <mergeCell ref="L307:O307"/>
    <mergeCell ref="B308:C308"/>
    <mergeCell ref="E308:F308"/>
    <mergeCell ref="L308:O308"/>
    <mergeCell ref="B309:C309"/>
    <mergeCell ref="E309:F309"/>
    <mergeCell ref="L309:O309"/>
    <mergeCell ref="B310:C310"/>
    <mergeCell ref="E310:F310"/>
    <mergeCell ref="L310:O310"/>
    <mergeCell ref="B311:C311"/>
    <mergeCell ref="E311:F311"/>
    <mergeCell ref="L311:O311"/>
    <mergeCell ref="B312:C312"/>
    <mergeCell ref="E312:F312"/>
    <mergeCell ref="L312:O312"/>
    <mergeCell ref="B313:C313"/>
    <mergeCell ref="E313:F313"/>
    <mergeCell ref="L313:O313"/>
    <mergeCell ref="B314:C314"/>
    <mergeCell ref="E314:F314"/>
    <mergeCell ref="L314:O314"/>
    <mergeCell ref="B315:C315"/>
    <mergeCell ref="E315:F315"/>
    <mergeCell ref="L315:O315"/>
    <mergeCell ref="B316:C316"/>
    <mergeCell ref="E316:F316"/>
    <mergeCell ref="L316:O316"/>
    <mergeCell ref="B317:C317"/>
    <mergeCell ref="E317:F317"/>
    <mergeCell ref="L317:O317"/>
    <mergeCell ref="B318:C318"/>
    <mergeCell ref="E318:F318"/>
    <mergeCell ref="L318:O318"/>
    <mergeCell ref="B319:C319"/>
    <mergeCell ref="E319:F319"/>
    <mergeCell ref="L319:O319"/>
    <mergeCell ref="B320:C320"/>
    <mergeCell ref="E320:F320"/>
    <mergeCell ref="L320:O320"/>
    <mergeCell ref="B321:C321"/>
    <mergeCell ref="E321:F321"/>
    <mergeCell ref="L321:O321"/>
    <mergeCell ref="B322:C322"/>
    <mergeCell ref="E322:F322"/>
    <mergeCell ref="L322:O322"/>
    <mergeCell ref="B323:C323"/>
    <mergeCell ref="E323:F323"/>
    <mergeCell ref="L323:O323"/>
    <mergeCell ref="B324:C324"/>
    <mergeCell ref="E324:F324"/>
    <mergeCell ref="L324:O324"/>
    <mergeCell ref="B325:C325"/>
    <mergeCell ref="E325:F325"/>
    <mergeCell ref="L325:O325"/>
    <mergeCell ref="B326:C326"/>
    <mergeCell ref="E326:F326"/>
    <mergeCell ref="L326:O326"/>
    <mergeCell ref="B327:C327"/>
    <mergeCell ref="E327:F327"/>
    <mergeCell ref="L327:O327"/>
    <mergeCell ref="B328:C328"/>
    <mergeCell ref="E328:F328"/>
    <mergeCell ref="L328:O328"/>
    <mergeCell ref="B329:C329"/>
    <mergeCell ref="E329:F329"/>
    <mergeCell ref="L329:O329"/>
    <mergeCell ref="B330:C330"/>
    <mergeCell ref="E330:F330"/>
    <mergeCell ref="L330:O330"/>
    <mergeCell ref="B331:C331"/>
    <mergeCell ref="E331:F331"/>
    <mergeCell ref="L331:O331"/>
    <mergeCell ref="B332:C332"/>
    <mergeCell ref="E332:F332"/>
    <mergeCell ref="L332:O332"/>
    <mergeCell ref="B333:C333"/>
    <mergeCell ref="E333:F333"/>
    <mergeCell ref="L333:O333"/>
    <mergeCell ref="B334:C334"/>
    <mergeCell ref="E334:F334"/>
    <mergeCell ref="L334:O334"/>
    <mergeCell ref="B335:C335"/>
    <mergeCell ref="E335:F335"/>
    <mergeCell ref="L335:O335"/>
    <mergeCell ref="B336:C336"/>
    <mergeCell ref="E336:F336"/>
    <mergeCell ref="L336:O336"/>
    <mergeCell ref="B337:C337"/>
    <mergeCell ref="E337:F337"/>
    <mergeCell ref="L337:O337"/>
    <mergeCell ref="B338:C338"/>
    <mergeCell ref="E338:F338"/>
    <mergeCell ref="L338:O338"/>
    <mergeCell ref="B339:C339"/>
    <mergeCell ref="E339:F339"/>
    <mergeCell ref="L339:O339"/>
    <mergeCell ref="B340:C340"/>
    <mergeCell ref="E340:F340"/>
    <mergeCell ref="L340:O340"/>
    <mergeCell ref="B341:C341"/>
    <mergeCell ref="E341:F341"/>
    <mergeCell ref="L341:O341"/>
    <mergeCell ref="B342:C342"/>
    <mergeCell ref="E342:F342"/>
    <mergeCell ref="L342:O342"/>
    <mergeCell ref="B343:C343"/>
    <mergeCell ref="E343:F343"/>
    <mergeCell ref="L343:O343"/>
    <mergeCell ref="B344:C344"/>
    <mergeCell ref="E344:F344"/>
    <mergeCell ref="L344:O344"/>
    <mergeCell ref="B345:C345"/>
    <mergeCell ref="E345:F345"/>
    <mergeCell ref="L345:O345"/>
    <mergeCell ref="B346:C346"/>
    <mergeCell ref="E346:F346"/>
    <mergeCell ref="L346:O346"/>
    <mergeCell ref="B347:C347"/>
    <mergeCell ref="E347:F347"/>
    <mergeCell ref="L347:O347"/>
    <mergeCell ref="B348:C348"/>
    <mergeCell ref="E348:F348"/>
    <mergeCell ref="L348:O348"/>
    <mergeCell ref="B349:C349"/>
    <mergeCell ref="E349:F349"/>
    <mergeCell ref="L349:O349"/>
    <mergeCell ref="B350:C350"/>
    <mergeCell ref="E350:F350"/>
    <mergeCell ref="L350:O350"/>
    <mergeCell ref="B351:C351"/>
    <mergeCell ref="E351:F351"/>
    <mergeCell ref="L351:O351"/>
    <mergeCell ref="B352:C352"/>
    <mergeCell ref="E352:F352"/>
    <mergeCell ref="L352:O352"/>
    <mergeCell ref="B353:C353"/>
    <mergeCell ref="E353:F353"/>
    <mergeCell ref="L353:O353"/>
    <mergeCell ref="B354:C354"/>
    <mergeCell ref="E354:F354"/>
    <mergeCell ref="L354:O354"/>
    <mergeCell ref="B355:C355"/>
    <mergeCell ref="E355:F355"/>
    <mergeCell ref="L355:O355"/>
    <mergeCell ref="B356:C356"/>
    <mergeCell ref="E356:F356"/>
    <mergeCell ref="L356:O356"/>
    <mergeCell ref="B357:C357"/>
    <mergeCell ref="E357:F357"/>
    <mergeCell ref="L357:O357"/>
    <mergeCell ref="B358:C358"/>
    <mergeCell ref="E358:F358"/>
    <mergeCell ref="L358:O358"/>
    <mergeCell ref="B359:C359"/>
    <mergeCell ref="E359:F359"/>
    <mergeCell ref="L359:O359"/>
    <mergeCell ref="B360:C360"/>
    <mergeCell ref="E360:F360"/>
    <mergeCell ref="L360:O360"/>
    <mergeCell ref="B361:C361"/>
    <mergeCell ref="E361:F361"/>
    <mergeCell ref="L361:O361"/>
    <mergeCell ref="B362:C362"/>
    <mergeCell ref="E362:F362"/>
    <mergeCell ref="L362:O362"/>
    <mergeCell ref="B363:C363"/>
    <mergeCell ref="E363:F363"/>
    <mergeCell ref="L363:O363"/>
    <mergeCell ref="B364:C364"/>
    <mergeCell ref="E364:F364"/>
    <mergeCell ref="L364:O364"/>
    <mergeCell ref="B365:C365"/>
    <mergeCell ref="E365:F365"/>
    <mergeCell ref="L365:O365"/>
    <mergeCell ref="B366:C366"/>
    <mergeCell ref="E366:F366"/>
    <mergeCell ref="L366:O366"/>
    <mergeCell ref="B367:C367"/>
    <mergeCell ref="E367:F367"/>
    <mergeCell ref="L367:O367"/>
    <mergeCell ref="B368:C368"/>
    <mergeCell ref="E368:F368"/>
    <mergeCell ref="L368:O368"/>
    <mergeCell ref="B369:C369"/>
    <mergeCell ref="E369:F369"/>
    <mergeCell ref="L369:O369"/>
    <mergeCell ref="B370:C370"/>
    <mergeCell ref="E370:F370"/>
    <mergeCell ref="L370:O370"/>
    <mergeCell ref="B371:C371"/>
    <mergeCell ref="E371:F371"/>
    <mergeCell ref="L371:O371"/>
    <mergeCell ref="B372:C372"/>
    <mergeCell ref="E372:F372"/>
    <mergeCell ref="L372:O372"/>
    <mergeCell ref="B373:C373"/>
    <mergeCell ref="E373:F373"/>
    <mergeCell ref="L373:O373"/>
    <mergeCell ref="B374:C374"/>
    <mergeCell ref="E374:F374"/>
    <mergeCell ref="L374:O374"/>
    <mergeCell ref="B375:C375"/>
    <mergeCell ref="E375:F375"/>
    <mergeCell ref="L375:O375"/>
    <mergeCell ref="B376:C376"/>
    <mergeCell ref="E376:F376"/>
    <mergeCell ref="L376:O376"/>
    <mergeCell ref="B377:C377"/>
    <mergeCell ref="E377:F377"/>
    <mergeCell ref="L377:O377"/>
    <mergeCell ref="B378:C378"/>
    <mergeCell ref="E378:F378"/>
    <mergeCell ref="L378:O378"/>
    <mergeCell ref="B379:C379"/>
    <mergeCell ref="E379:F379"/>
    <mergeCell ref="L379:O379"/>
    <mergeCell ref="B380:C380"/>
    <mergeCell ref="E380:F380"/>
    <mergeCell ref="L380:O380"/>
    <mergeCell ref="B381:C381"/>
    <mergeCell ref="E381:F381"/>
    <mergeCell ref="L381:O381"/>
    <mergeCell ref="B382:C382"/>
    <mergeCell ref="E382:F382"/>
    <mergeCell ref="L382:O382"/>
    <mergeCell ref="B383:C383"/>
    <mergeCell ref="E383:F383"/>
    <mergeCell ref="L383:O383"/>
    <mergeCell ref="B384:C384"/>
    <mergeCell ref="E384:F384"/>
    <mergeCell ref="L384:O384"/>
    <mergeCell ref="B385:C385"/>
    <mergeCell ref="E385:F385"/>
    <mergeCell ref="L385:O385"/>
    <mergeCell ref="B386:C386"/>
    <mergeCell ref="E386:F386"/>
    <mergeCell ref="L386:O386"/>
    <mergeCell ref="B387:C387"/>
    <mergeCell ref="E387:F387"/>
    <mergeCell ref="L387:O387"/>
    <mergeCell ref="B388:C388"/>
    <mergeCell ref="E388:F388"/>
    <mergeCell ref="L388:O388"/>
    <mergeCell ref="B389:C389"/>
    <mergeCell ref="E389:F389"/>
    <mergeCell ref="L389:O389"/>
    <mergeCell ref="B390:C390"/>
    <mergeCell ref="E390:F390"/>
    <mergeCell ref="L390:O390"/>
    <mergeCell ref="B391:C391"/>
    <mergeCell ref="E391:F391"/>
    <mergeCell ref="L391:O391"/>
    <mergeCell ref="B392:C392"/>
    <mergeCell ref="E392:F392"/>
    <mergeCell ref="L392:O392"/>
    <mergeCell ref="B393:C393"/>
    <mergeCell ref="E393:F393"/>
    <mergeCell ref="L393:O393"/>
    <mergeCell ref="B394:C394"/>
    <mergeCell ref="E394:F394"/>
    <mergeCell ref="L394:O394"/>
    <mergeCell ref="B395:C395"/>
    <mergeCell ref="E395:F395"/>
    <mergeCell ref="L395:O395"/>
    <mergeCell ref="B396:C396"/>
    <mergeCell ref="E396:F396"/>
    <mergeCell ref="L396:O396"/>
    <mergeCell ref="B397:C397"/>
    <mergeCell ref="E397:F397"/>
    <mergeCell ref="L397:O397"/>
    <mergeCell ref="B398:C398"/>
    <mergeCell ref="E398:F398"/>
    <mergeCell ref="L398:O398"/>
    <mergeCell ref="B399:C399"/>
    <mergeCell ref="E399:F399"/>
    <mergeCell ref="L399:O399"/>
    <mergeCell ref="A400:B400"/>
    <mergeCell ref="C400:N400"/>
    <mergeCell ref="O400:P400"/>
    <mergeCell ref="A401:P401"/>
    <mergeCell ref="A402:B402"/>
    <mergeCell ref="C402:N402"/>
    <mergeCell ref="O402:P402"/>
    <mergeCell ref="A403:B403"/>
    <mergeCell ref="C403:N403"/>
    <mergeCell ref="O403:P403"/>
    <mergeCell ref="A404:E404"/>
    <mergeCell ref="F404:L404"/>
  </mergeCells>
  <printOptions gridLines="false" gridLinesSet="true" headings="false" horizontalCentered="false" verticalCentered="false"/>
  <pageMargins bottom="0.5" footer="0.511805555555555" header="0.511805555555555" left="0.5" right="0.5" top="0.5"/>
  <pageSetup blackAndWhite="false" cellComments="none" copies="1" draft="false" firstPageNumber="0" fitToHeight="1" fitToWidth="1" horizontalDpi="300" orientation="landscape" pageOrder="downThenOver" paperSize="1" scale="100" useFirstPageNumber="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Q402"/>
  <sheetViews>
    <sheetView colorId="64" defaultGridColor="true" rightToLeft="false" showFormulas="false" showGridLines="true" showOutlineSymbols="true" showRowColHeaders="true" showZeros="true" tabSelected="false" topLeftCell="A1" view="normal" workbookViewId="0" zoomScale="100" zoomScaleNormal="100" zoomScalePageLayoutView="100">
      <selection activeCell="A1" activeCellId="0" pane="topLeft" sqref="A1"/>
    </sheetView>
  </sheetViews>
  <sheetFormatPr defaultRowHeight="15" outlineLevelCol="0" outlineLevelRow="0" zeroHeight="false"/>
  <cols>
    <col min="1" max="1" customWidth="true" hidden="false" style="1" width="9.57" collapsed="true" outlineLevel="0"/>
    <col min="2" max="2" customWidth="true" hidden="false" style="1" width="15.14" collapsed="true" outlineLevel="0"/>
    <col min="3" max="3" customWidth="true" hidden="false" style="1" width="5.43" collapsed="true" outlineLevel="0"/>
    <col min="4" max="4" customWidth="true" hidden="false" style="1" width="20.57" collapsed="true" outlineLevel="0"/>
    <col min="5" max="5" customWidth="true" hidden="false" style="1" width="17.85" collapsed="true" outlineLevel="0"/>
    <col min="6" max="6" customWidth="true" hidden="false" style="1" width="2.71" collapsed="true" outlineLevel="0"/>
    <col min="7" max="11" customWidth="true" hidden="false" style="1" width="9.57" collapsed="true" outlineLevel="0"/>
    <col min="12" max="12" customWidth="true" hidden="false" style="1" width="11.0" collapsed="true" outlineLevel="0"/>
    <col min="13" max="13" customWidth="true" hidden="false" style="1" width="1.43" collapsed="true" outlineLevel="0"/>
    <col min="14" max="14" customWidth="true" hidden="false" style="1" width="5.43" collapsed="true" outlineLevel="0"/>
    <col min="15" max="15" customWidth="true" hidden="false" style="1" width="2.71" collapsed="true" outlineLevel="0"/>
    <col min="16" max="16" customWidth="true" hidden="false" style="1" width="20.57" collapsed="true" outlineLevel="0"/>
    <col min="17" max="17" customWidth="true" hidden="false" style="1" width="8.0" collapsed="true" outlineLevel="0"/>
    <col min="18" max="1025" customWidth="true" hidden="false" style="1" width="8.53" collapsed="true" outlineLevel="0"/>
  </cols>
  <sheetData>
    <row collapsed="false" customFormat="false" customHeight="false" hidden="false" ht="15" outlineLevel="0" r="1">
      <c r="A1" s="14"/>
      <c r="B1" s="14"/>
      <c r="C1" s="14"/>
      <c r="D1" s="14"/>
      <c r="E1" s="14"/>
      <c r="F1" s="15"/>
      <c r="G1" s="15"/>
      <c r="H1" s="15"/>
      <c r="I1" s="15"/>
      <c r="J1" s="15"/>
      <c r="K1" s="15"/>
      <c r="L1" s="15"/>
      <c r="M1" s="15"/>
      <c r="N1" s="15"/>
    </row>
    <row collapsed="false" customFormat="false" customHeight="true" hidden="false" ht="28.5" outlineLevel="0" r="2">
      <c r="A2" s="16" t="s">
        <v>0</v>
      </c>
      <c r="B2" s="16"/>
      <c r="C2" s="16"/>
      <c r="D2" s="16"/>
      <c r="E2" s="16"/>
      <c r="F2" s="16"/>
      <c r="G2" s="16"/>
      <c r="H2" s="16"/>
      <c r="I2" s="16"/>
      <c r="J2" s="16"/>
      <c r="K2" s="16"/>
      <c r="L2" s="16"/>
      <c r="M2" s="16"/>
      <c r="N2" s="16"/>
      <c r="O2" s="16"/>
      <c r="P2" s="16"/>
    </row>
    <row collapsed="false" customFormat="false" customHeight="true" hidden="false" ht="39" outlineLevel="0" r="3">
      <c r="A3" s="17" t="s">
        <v>1</v>
      </c>
      <c r="B3" s="17" t="s">
        <v>2</v>
      </c>
      <c r="C3" s="17"/>
      <c r="D3" s="17" t="s">
        <v>3</v>
      </c>
      <c r="E3" s="17" t="s">
        <v>4</v>
      </c>
      <c r="F3" s="17"/>
      <c r="G3" s="17" t="s">
        <v>5</v>
      </c>
      <c r="H3" s="17" t="s">
        <v>6</v>
      </c>
      <c r="I3" s="17"/>
      <c r="J3" s="17" t="s">
        <v>7</v>
      </c>
      <c r="K3" s="17"/>
      <c r="L3" s="17" t="s">
        <v>8</v>
      </c>
      <c r="M3" s="17"/>
      <c r="N3" s="17"/>
      <c r="O3" s="17"/>
      <c r="P3" s="17" t="s">
        <v>9</v>
      </c>
    </row>
    <row collapsed="false" customFormat="false" customHeight="true" hidden="false" ht="25.5" outlineLevel="0" r="4">
      <c r="A4" s="18" t="s">
        <v>10</v>
      </c>
      <c r="B4" s="18" t="s">
        <v>11</v>
      </c>
      <c r="C4" s="18"/>
      <c r="D4" s="18" t="s">
        <v>12</v>
      </c>
      <c r="E4" s="18" t="s">
        <v>13</v>
      </c>
      <c r="F4" s="18"/>
      <c r="G4" s="18" t="s">
        <v>14</v>
      </c>
      <c r="H4" s="19" t="n">
        <v>42901.6059224769</v>
      </c>
      <c r="I4" s="20" t="n">
        <v>42901.6059224769</v>
      </c>
      <c r="J4" s="19" t="n">
        <v>42884.5312501968</v>
      </c>
      <c r="K4" s="20" t="n">
        <v>42884.5312501968</v>
      </c>
      <c r="L4" s="18" t="s">
        <v>15</v>
      </c>
      <c r="M4" s="18"/>
      <c r="N4" s="18"/>
      <c r="O4" s="18"/>
      <c r="P4" s="18" t="s">
        <v>16</v>
      </c>
    </row>
    <row collapsed="false" customFormat="false" customHeight="true" hidden="false" ht="25.5" outlineLevel="0" r="5">
      <c r="A5" s="18" t="s">
        <v>17</v>
      </c>
      <c r="B5" s="18" t="s">
        <v>18</v>
      </c>
      <c r="C5" s="18"/>
      <c r="D5" s="18" t="s">
        <v>19</v>
      </c>
      <c r="E5" s="18" t="s">
        <v>20</v>
      </c>
      <c r="F5" s="18"/>
      <c r="G5" s="18" t="s">
        <v>14</v>
      </c>
      <c r="H5" s="19" t="n">
        <v>43032.3923224653</v>
      </c>
      <c r="I5" s="20" t="n">
        <v>43032.3923224653</v>
      </c>
      <c r="J5" s="19" t="n">
        <v>42884.5874923727</v>
      </c>
      <c r="K5" s="20" t="n">
        <v>42884.5874923727</v>
      </c>
      <c r="L5" s="18" t="s">
        <v>15</v>
      </c>
      <c r="M5" s="18"/>
      <c r="N5" s="18"/>
      <c r="O5" s="18"/>
      <c r="P5" s="18" t="s">
        <v>16</v>
      </c>
    </row>
    <row collapsed="false" customFormat="false" customHeight="true" hidden="false" ht="25.5" outlineLevel="0" r="6">
      <c r="A6" s="18" t="s">
        <v>21</v>
      </c>
      <c r="B6" s="18" t="s">
        <v>22</v>
      </c>
      <c r="C6" s="18"/>
      <c r="D6" s="18" t="s">
        <v>23</v>
      </c>
      <c r="E6" s="18" t="s">
        <v>24</v>
      </c>
      <c r="F6" s="18"/>
      <c r="G6" s="18" t="s">
        <v>14</v>
      </c>
      <c r="H6" s="19" t="n">
        <v>42901.6081178009</v>
      </c>
      <c r="I6" s="20" t="n">
        <v>42901.6081178009</v>
      </c>
      <c r="J6" s="19" t="n">
        <v>42884.6915527315</v>
      </c>
      <c r="K6" s="20" t="n">
        <v>42884.6915527315</v>
      </c>
      <c r="L6" s="18" t="s">
        <v>15</v>
      </c>
      <c r="M6" s="18"/>
      <c r="N6" s="18"/>
      <c r="O6" s="18"/>
      <c r="P6" s="18" t="s">
        <v>16</v>
      </c>
    </row>
    <row collapsed="false" customFormat="false" customHeight="true" hidden="false" ht="25.5" outlineLevel="0" r="7">
      <c r="A7" s="18" t="s">
        <v>25</v>
      </c>
      <c r="B7" s="18" t="s">
        <v>26</v>
      </c>
      <c r="C7" s="18"/>
      <c r="D7" s="18" t="s">
        <v>27</v>
      </c>
      <c r="E7" s="18" t="s">
        <v>28</v>
      </c>
      <c r="F7" s="18"/>
      <c r="G7" s="18" t="s">
        <v>14</v>
      </c>
      <c r="H7" s="19" t="n">
        <v>42898.4248504051</v>
      </c>
      <c r="I7" s="20" t="n">
        <v>42898.4248504051</v>
      </c>
      <c r="J7" s="19" t="n">
        <v>42884.7199743171</v>
      </c>
      <c r="K7" s="20" t="n">
        <v>42884.7199743171</v>
      </c>
      <c r="L7" s="18" t="s">
        <v>15</v>
      </c>
      <c r="M7" s="18"/>
      <c r="N7" s="18"/>
      <c r="O7" s="18"/>
      <c r="P7" s="18" t="s">
        <v>29</v>
      </c>
    </row>
    <row collapsed="false" customFormat="false" customHeight="true" hidden="false" ht="25.5" outlineLevel="0" r="8">
      <c r="A8" s="18" t="s">
        <v>30</v>
      </c>
      <c r="B8" s="18" t="s">
        <v>31</v>
      </c>
      <c r="C8" s="18"/>
      <c r="D8" s="18" t="s">
        <v>32</v>
      </c>
      <c r="E8" s="18" t="s">
        <v>33</v>
      </c>
      <c r="F8" s="18"/>
      <c r="G8" s="18" t="s">
        <v>14</v>
      </c>
      <c r="H8" s="19" t="n">
        <v>42888.4879480903</v>
      </c>
      <c r="I8" s="20" t="n">
        <v>42888.4879480903</v>
      </c>
      <c r="J8" s="19" t="n">
        <v>42884.8594750694</v>
      </c>
      <c r="K8" s="20" t="n">
        <v>42884.8594750694</v>
      </c>
      <c r="L8" s="18" t="s">
        <v>15</v>
      </c>
      <c r="M8" s="18"/>
      <c r="N8" s="18"/>
      <c r="O8" s="18"/>
      <c r="P8" s="18" t="s">
        <v>29</v>
      </c>
    </row>
    <row collapsed="false" customFormat="false" customHeight="true" hidden="false" ht="25.5" outlineLevel="0" r="9">
      <c r="A9" s="18" t="s">
        <v>34</v>
      </c>
      <c r="B9" s="18" t="s">
        <v>35</v>
      </c>
      <c r="C9" s="18"/>
      <c r="D9" s="18" t="s">
        <v>36</v>
      </c>
      <c r="E9" s="18" t="s">
        <v>37</v>
      </c>
      <c r="F9" s="18"/>
      <c r="G9" s="18" t="s">
        <v>14</v>
      </c>
      <c r="H9" s="19" t="n">
        <v>42892.6995155671</v>
      </c>
      <c r="I9" s="20" t="n">
        <v>42892.6995155671</v>
      </c>
      <c r="J9" s="19" t="n">
        <v>42886.6004946875</v>
      </c>
      <c r="K9" s="20" t="n">
        <v>42886.6004946875</v>
      </c>
      <c r="L9" s="18" t="s">
        <v>15</v>
      </c>
      <c r="M9" s="18"/>
      <c r="N9" s="18"/>
      <c r="O9" s="18"/>
      <c r="P9" s="18" t="s">
        <v>29</v>
      </c>
    </row>
    <row collapsed="false" customFormat="false" customHeight="true" hidden="false" ht="25.5" outlineLevel="0" r="10">
      <c r="A10" s="18" t="s">
        <v>38</v>
      </c>
      <c r="B10" s="18" t="s">
        <v>39</v>
      </c>
      <c r="C10" s="18"/>
      <c r="D10" s="18" t="s">
        <v>40</v>
      </c>
      <c r="E10" s="18" t="s">
        <v>41</v>
      </c>
      <c r="F10" s="18"/>
      <c r="G10" s="18" t="s">
        <v>14</v>
      </c>
      <c r="H10" s="19" t="n">
        <v>42941.7614384607</v>
      </c>
      <c r="I10" s="20" t="n">
        <v>42941.7614384607</v>
      </c>
      <c r="J10" s="19" t="n">
        <v>42886.9156795023</v>
      </c>
      <c r="K10" s="20" t="n">
        <v>42886.9156795023</v>
      </c>
      <c r="L10" s="18" t="s">
        <v>15</v>
      </c>
      <c r="M10" s="18"/>
      <c r="N10" s="18"/>
      <c r="O10" s="18"/>
      <c r="P10" s="18" t="s">
        <v>29</v>
      </c>
    </row>
    <row collapsed="false" customFormat="false" customHeight="true" hidden="false" ht="25.5" outlineLevel="0" r="11">
      <c r="A11" s="18" t="s">
        <v>42</v>
      </c>
      <c r="B11" s="18" t="s">
        <v>43</v>
      </c>
      <c r="C11" s="18"/>
      <c r="D11" s="18" t="s">
        <v>44</v>
      </c>
      <c r="E11" s="18" t="s">
        <v>45</v>
      </c>
      <c r="F11" s="18"/>
      <c r="G11" s="18" t="s">
        <v>14</v>
      </c>
      <c r="H11" s="19" t="n">
        <v>42895.7057748958</v>
      </c>
      <c r="I11" s="20" t="n">
        <v>42895.7057748958</v>
      </c>
      <c r="J11" s="19" t="n">
        <v>42888.7494872685</v>
      </c>
      <c r="K11" s="20" t="n">
        <v>42888.7494872685</v>
      </c>
      <c r="L11" s="18" t="s">
        <v>15</v>
      </c>
      <c r="M11" s="18"/>
      <c r="N11" s="18"/>
      <c r="O11" s="18"/>
      <c r="P11" s="18" t="s">
        <v>46</v>
      </c>
    </row>
    <row collapsed="false" customFormat="false" customHeight="true" hidden="false" ht="25.5" outlineLevel="0" r="12">
      <c r="A12" s="18" t="s">
        <v>47</v>
      </c>
      <c r="B12" s="18" t="s">
        <v>48</v>
      </c>
      <c r="C12" s="18"/>
      <c r="D12" s="18" t="s">
        <v>49</v>
      </c>
      <c r="E12" s="18" t="s">
        <v>50</v>
      </c>
      <c r="F12" s="18"/>
      <c r="G12" s="18" t="s">
        <v>14</v>
      </c>
      <c r="H12" s="19" t="n">
        <v>42891.6745201157</v>
      </c>
      <c r="I12" s="20" t="n">
        <v>42891.6745201157</v>
      </c>
      <c r="J12" s="19" t="n">
        <v>42889.2776105787</v>
      </c>
      <c r="K12" s="20" t="n">
        <v>42889.2776105787</v>
      </c>
      <c r="L12" s="18" t="s">
        <v>15</v>
      </c>
      <c r="M12" s="18"/>
      <c r="N12" s="18"/>
      <c r="O12" s="18"/>
      <c r="P12" s="18" t="s">
        <v>46</v>
      </c>
    </row>
    <row collapsed="false" customFormat="false" customHeight="true" hidden="false" ht="25.5" outlineLevel="0" r="13">
      <c r="A13" s="18" t="s">
        <v>51</v>
      </c>
      <c r="B13" s="18" t="s">
        <v>48</v>
      </c>
      <c r="C13" s="18"/>
      <c r="D13" s="18" t="s">
        <v>49</v>
      </c>
      <c r="E13" s="18" t="s">
        <v>50</v>
      </c>
      <c r="F13" s="18"/>
      <c r="G13" s="18" t="s">
        <v>14</v>
      </c>
      <c r="H13" s="19" t="n">
        <v>42892.4968852083</v>
      </c>
      <c r="I13" s="20" t="n">
        <v>42892.4968852083</v>
      </c>
      <c r="J13" s="19" t="n">
        <v>42889.2795772801</v>
      </c>
      <c r="K13" s="20" t="n">
        <v>42889.2795772801</v>
      </c>
      <c r="L13" s="18" t="s">
        <v>15</v>
      </c>
      <c r="M13" s="18"/>
      <c r="N13" s="18"/>
      <c r="O13" s="18"/>
      <c r="P13" s="18" t="s">
        <v>46</v>
      </c>
    </row>
    <row collapsed="false" customFormat="false" customHeight="true" hidden="false" ht="25.5" outlineLevel="0" r="14">
      <c r="A14" s="18" t="s">
        <v>52</v>
      </c>
      <c r="B14" s="18" t="s">
        <v>53</v>
      </c>
      <c r="C14" s="18"/>
      <c r="D14" s="18" t="s">
        <v>54</v>
      </c>
      <c r="E14" s="18" t="s">
        <v>55</v>
      </c>
      <c r="F14" s="18"/>
      <c r="G14" s="18" t="s">
        <v>14</v>
      </c>
      <c r="H14" s="19" t="n">
        <v>42892.4888567361</v>
      </c>
      <c r="I14" s="20" t="n">
        <v>42892.4888567361</v>
      </c>
      <c r="J14" s="19" t="n">
        <v>42891.4915506944</v>
      </c>
      <c r="K14" s="20" t="n">
        <v>42891.4915506944</v>
      </c>
      <c r="L14" s="18" t="s">
        <v>15</v>
      </c>
      <c r="M14" s="18"/>
      <c r="N14" s="18"/>
      <c r="O14" s="18"/>
      <c r="P14" s="18" t="s">
        <v>46</v>
      </c>
    </row>
    <row collapsed="false" customFormat="false" customHeight="true" hidden="false" ht="25.5" outlineLevel="0" r="15">
      <c r="A15" s="18" t="s">
        <v>56</v>
      </c>
      <c r="B15" s="18" t="s">
        <v>57</v>
      </c>
      <c r="C15" s="18"/>
      <c r="D15" s="18" t="s">
        <v>54</v>
      </c>
      <c r="E15" s="18" t="s">
        <v>55</v>
      </c>
      <c r="F15" s="18"/>
      <c r="G15" s="18" t="s">
        <v>14</v>
      </c>
      <c r="H15" s="19" t="n">
        <v>42891.6816487384</v>
      </c>
      <c r="I15" s="20" t="n">
        <v>42891.6816487384</v>
      </c>
      <c r="J15" s="19" t="n">
        <v>42891.4949005208</v>
      </c>
      <c r="K15" s="20" t="n">
        <v>42891.4949005208</v>
      </c>
      <c r="L15" s="18" t="s">
        <v>15</v>
      </c>
      <c r="M15" s="18"/>
      <c r="N15" s="18"/>
      <c r="O15" s="18"/>
      <c r="P15" s="18" t="s">
        <v>58</v>
      </c>
    </row>
    <row collapsed="false" customFormat="false" customHeight="true" hidden="false" ht="25.5" outlineLevel="0" r="16">
      <c r="A16" s="18" t="s">
        <v>59</v>
      </c>
      <c r="B16" s="18" t="s">
        <v>60</v>
      </c>
      <c r="C16" s="18"/>
      <c r="D16" s="18" t="s">
        <v>61</v>
      </c>
      <c r="E16" s="18" t="s">
        <v>62</v>
      </c>
      <c r="F16" s="18"/>
      <c r="G16" s="18" t="s">
        <v>14</v>
      </c>
      <c r="H16" s="19" t="n">
        <v>42894.6284437153</v>
      </c>
      <c r="I16" s="20" t="n">
        <v>42894.6284437153</v>
      </c>
      <c r="J16" s="19" t="n">
        <v>42891.6888400926</v>
      </c>
      <c r="K16" s="20" t="n">
        <v>42891.6888400926</v>
      </c>
      <c r="L16" s="18" t="s">
        <v>15</v>
      </c>
      <c r="M16" s="18"/>
      <c r="N16" s="18"/>
      <c r="O16" s="18"/>
      <c r="P16" s="18" t="s">
        <v>46</v>
      </c>
    </row>
    <row collapsed="false" customFormat="false" customHeight="true" hidden="false" ht="25.5" outlineLevel="0" r="17">
      <c r="A17" s="18" t="s">
        <v>63</v>
      </c>
      <c r="B17" s="18" t="s">
        <v>64</v>
      </c>
      <c r="C17" s="18"/>
      <c r="D17" s="18" t="s">
        <v>65</v>
      </c>
      <c r="E17" s="18" t="s">
        <v>65</v>
      </c>
      <c r="F17" s="18"/>
      <c r="G17" s="18" t="s">
        <v>14</v>
      </c>
      <c r="H17" s="19" t="n">
        <v>42897.8753913889</v>
      </c>
      <c r="I17" s="20" t="n">
        <v>42897.8753913889</v>
      </c>
      <c r="J17" s="19" t="n">
        <v>42892.4119567361</v>
      </c>
      <c r="K17" s="20" t="n">
        <v>42892.4119567361</v>
      </c>
      <c r="L17" s="18" t="s">
        <v>15</v>
      </c>
      <c r="M17" s="18"/>
      <c r="N17" s="18"/>
      <c r="O17" s="18"/>
      <c r="P17" s="18" t="s">
        <v>16</v>
      </c>
    </row>
    <row collapsed="false" customFormat="false" customHeight="true" hidden="false" ht="25.5" outlineLevel="0" r="18">
      <c r="A18" s="18" t="s">
        <v>66</v>
      </c>
      <c r="B18" s="18" t="s">
        <v>67</v>
      </c>
      <c r="C18" s="18"/>
      <c r="D18" s="18" t="s">
        <v>68</v>
      </c>
      <c r="E18" s="18" t="s">
        <v>68</v>
      </c>
      <c r="F18" s="18"/>
      <c r="G18" s="18" t="s">
        <v>14</v>
      </c>
      <c r="H18" s="19" t="n">
        <v>43217.0854084722</v>
      </c>
      <c r="I18" s="20" t="n">
        <v>43217.0854084722</v>
      </c>
      <c r="J18" s="19" t="n">
        <v>42892.5333289931</v>
      </c>
      <c r="K18" s="20" t="n">
        <v>42892.5333289931</v>
      </c>
      <c r="L18" s="18" t="s">
        <v>15</v>
      </c>
      <c r="M18" s="18"/>
      <c r="N18" s="18"/>
      <c r="O18" s="18"/>
      <c r="P18" s="18" t="s">
        <v>16</v>
      </c>
    </row>
    <row collapsed="false" customFormat="false" customHeight="true" hidden="false" ht="25.5" outlineLevel="0" r="19">
      <c r="A19" s="18" t="s">
        <v>69</v>
      </c>
      <c r="B19" s="18" t="s">
        <v>70</v>
      </c>
      <c r="C19" s="18"/>
      <c r="D19" s="18" t="s">
        <v>71</v>
      </c>
      <c r="E19" s="18" t="s">
        <v>72</v>
      </c>
      <c r="F19" s="18"/>
      <c r="G19" s="18" t="s">
        <v>14</v>
      </c>
      <c r="H19" s="19" t="n">
        <v>42892.7022148958</v>
      </c>
      <c r="I19" s="20" t="n">
        <v>42892.7022148958</v>
      </c>
      <c r="J19" s="19" t="n">
        <v>42892.5943287732</v>
      </c>
      <c r="K19" s="20" t="n">
        <v>42892.5943287732</v>
      </c>
      <c r="L19" s="18" t="s">
        <v>15</v>
      </c>
      <c r="M19" s="18"/>
      <c r="N19" s="18"/>
      <c r="O19" s="18"/>
      <c r="P19" s="18" t="s">
        <v>46</v>
      </c>
    </row>
    <row collapsed="false" customFormat="false" customHeight="true" hidden="false" ht="25.5" outlineLevel="0" r="20">
      <c r="A20" s="18" t="s">
        <v>73</v>
      </c>
      <c r="B20" s="18" t="s">
        <v>74</v>
      </c>
      <c r="C20" s="18"/>
      <c r="D20" s="18" t="s">
        <v>75</v>
      </c>
      <c r="E20" s="18" t="s">
        <v>41</v>
      </c>
      <c r="F20" s="18"/>
      <c r="G20" s="18" t="s">
        <v>14</v>
      </c>
      <c r="H20" s="19" t="n">
        <v>42893.4888499537</v>
      </c>
      <c r="I20" s="20" t="n">
        <v>42893.4888499537</v>
      </c>
      <c r="J20" s="19" t="n">
        <v>42892.7833707639</v>
      </c>
      <c r="K20" s="20" t="n">
        <v>42892.7833707639</v>
      </c>
      <c r="L20" s="18" t="s">
        <v>15</v>
      </c>
      <c r="M20" s="18"/>
      <c r="N20" s="18"/>
      <c r="O20" s="18"/>
      <c r="P20" s="18" t="s">
        <v>46</v>
      </c>
    </row>
    <row collapsed="false" customFormat="false" customHeight="true" hidden="false" ht="25.5" outlineLevel="0" r="21">
      <c r="A21" s="18" t="s">
        <v>76</v>
      </c>
      <c r="B21" s="18" t="s">
        <v>77</v>
      </c>
      <c r="C21" s="18"/>
      <c r="D21" s="18" t="s">
        <v>78</v>
      </c>
      <c r="E21" s="18" t="s">
        <v>78</v>
      </c>
      <c r="F21" s="18"/>
      <c r="G21" s="18" t="s">
        <v>14</v>
      </c>
      <c r="H21" s="19" t="n">
        <v>42935.5243868866</v>
      </c>
      <c r="I21" s="20" t="n">
        <v>42935.5243868866</v>
      </c>
      <c r="J21" s="19" t="n">
        <v>42898.3949218403</v>
      </c>
      <c r="K21" s="20" t="n">
        <v>42898.3949218403</v>
      </c>
      <c r="L21" s="18" t="s">
        <v>15</v>
      </c>
      <c r="M21" s="18"/>
      <c r="N21" s="18"/>
      <c r="O21" s="18"/>
      <c r="P21" s="18" t="s">
        <v>16</v>
      </c>
    </row>
    <row collapsed="false" customFormat="false" customHeight="true" hidden="false" ht="25.5" outlineLevel="0" r="22">
      <c r="A22" s="18" t="s">
        <v>79</v>
      </c>
      <c r="B22" s="18" t="s">
        <v>80</v>
      </c>
      <c r="C22" s="18"/>
      <c r="D22" s="18" t="s">
        <v>54</v>
      </c>
      <c r="E22" s="18" t="s">
        <v>81</v>
      </c>
      <c r="F22" s="18"/>
      <c r="G22" s="18" t="s">
        <v>14</v>
      </c>
      <c r="H22" s="19" t="n">
        <v>42899.5145534028</v>
      </c>
      <c r="I22" s="20" t="n">
        <v>42899.5145534028</v>
      </c>
      <c r="J22" s="19" t="n">
        <v>42898.4401928356</v>
      </c>
      <c r="K22" s="20" t="n">
        <v>42898.4401928356</v>
      </c>
      <c r="L22" s="18" t="s">
        <v>15</v>
      </c>
      <c r="M22" s="18"/>
      <c r="N22" s="18"/>
      <c r="O22" s="18"/>
      <c r="P22" s="18" t="s">
        <v>58</v>
      </c>
    </row>
    <row collapsed="false" customFormat="false" customHeight="true" hidden="false" ht="25.5" outlineLevel="0" r="23">
      <c r="A23" s="18" t="s">
        <v>82</v>
      </c>
      <c r="B23" s="18" t="s">
        <v>83</v>
      </c>
      <c r="C23" s="18"/>
      <c r="D23" s="18" t="s">
        <v>84</v>
      </c>
      <c r="E23" s="18" t="s">
        <v>16</v>
      </c>
      <c r="F23" s="18"/>
      <c r="G23" s="18" t="s">
        <v>85</v>
      </c>
      <c r="H23" s="19" t="n">
        <v>42902.6380265278</v>
      </c>
      <c r="I23" s="20" t="n">
        <v>42902.6380265278</v>
      </c>
      <c r="J23" s="19" t="n">
        <v>42898.4876343634</v>
      </c>
      <c r="K23" s="20" t="n">
        <v>42898.4876343634</v>
      </c>
      <c r="L23" s="18" t="s">
        <v>15</v>
      </c>
      <c r="M23" s="18"/>
      <c r="N23" s="18"/>
      <c r="O23" s="18"/>
      <c r="P23" s="18" t="s">
        <v>29</v>
      </c>
    </row>
    <row collapsed="false" customFormat="false" customHeight="true" hidden="false" ht="25.5" outlineLevel="0" r="24">
      <c r="A24" s="18" t="s">
        <v>86</v>
      </c>
      <c r="B24" s="18" t="s">
        <v>87</v>
      </c>
      <c r="C24" s="18"/>
      <c r="D24" s="18" t="s">
        <v>88</v>
      </c>
      <c r="E24" s="18" t="s">
        <v>16</v>
      </c>
      <c r="F24" s="18"/>
      <c r="G24" s="18" t="s">
        <v>14</v>
      </c>
      <c r="H24" s="19" t="n">
        <v>42933.4786543634</v>
      </c>
      <c r="I24" s="20" t="n">
        <v>42933.4786543634</v>
      </c>
      <c r="J24" s="19" t="n">
        <v>42898.4924035532</v>
      </c>
      <c r="K24" s="20" t="n">
        <v>42898.4924035532</v>
      </c>
      <c r="L24" s="18" t="s">
        <v>15</v>
      </c>
      <c r="M24" s="18"/>
      <c r="N24" s="18"/>
      <c r="O24" s="18"/>
      <c r="P24" s="18" t="s">
        <v>16</v>
      </c>
    </row>
    <row collapsed="false" customFormat="false" customHeight="true" hidden="false" ht="25.5" outlineLevel="0" r="25">
      <c r="A25" s="18" t="s">
        <v>89</v>
      </c>
      <c r="B25" s="18" t="s">
        <v>87</v>
      </c>
      <c r="C25" s="18"/>
      <c r="D25" s="18" t="s">
        <v>88</v>
      </c>
      <c r="E25" s="18" t="s">
        <v>16</v>
      </c>
      <c r="F25" s="18"/>
      <c r="G25" s="18" t="s">
        <v>85</v>
      </c>
      <c r="H25" s="19" t="n">
        <v>42902.6531151968</v>
      </c>
      <c r="I25" s="20" t="n">
        <v>42902.6531151968</v>
      </c>
      <c r="J25" s="19" t="n">
        <v>42898.4992831482</v>
      </c>
      <c r="K25" s="20" t="n">
        <v>42898.4992831482</v>
      </c>
      <c r="L25" s="18" t="s">
        <v>15</v>
      </c>
      <c r="M25" s="18"/>
      <c r="N25" s="18"/>
      <c r="O25" s="18"/>
      <c r="P25" s="18" t="s">
        <v>29</v>
      </c>
    </row>
    <row collapsed="false" customFormat="false" customHeight="true" hidden="false" ht="25.5" outlineLevel="0" r="26">
      <c r="A26" s="18" t="s">
        <v>90</v>
      </c>
      <c r="B26" s="18" t="s">
        <v>91</v>
      </c>
      <c r="C26" s="18"/>
      <c r="D26" s="18" t="s">
        <v>92</v>
      </c>
      <c r="E26" s="18" t="s">
        <v>93</v>
      </c>
      <c r="F26" s="18"/>
      <c r="G26" s="18" t="s">
        <v>14</v>
      </c>
      <c r="H26" s="19" t="n">
        <v>42898.5974044676</v>
      </c>
      <c r="I26" s="20" t="n">
        <v>42898.5974044676</v>
      </c>
      <c r="J26" s="19" t="n">
        <v>42898.5333932407</v>
      </c>
      <c r="K26" s="20" t="n">
        <v>42898.5333932407</v>
      </c>
      <c r="L26" s="18" t="s">
        <v>15</v>
      </c>
      <c r="M26" s="18"/>
      <c r="N26" s="18"/>
      <c r="O26" s="18"/>
      <c r="P26" s="18" t="s">
        <v>46</v>
      </c>
    </row>
    <row collapsed="false" customFormat="false" customHeight="true" hidden="false" ht="25.5" outlineLevel="0" r="27">
      <c r="A27" s="18" t="s">
        <v>94</v>
      </c>
      <c r="B27" s="18" t="s">
        <v>95</v>
      </c>
      <c r="C27" s="18"/>
      <c r="D27" s="18" t="s">
        <v>96</v>
      </c>
      <c r="E27" s="18" t="s">
        <v>96</v>
      </c>
      <c r="F27" s="18"/>
      <c r="G27" s="18" t="s">
        <v>14</v>
      </c>
      <c r="H27" s="19" t="n">
        <v>42899.5717687269</v>
      </c>
      <c r="I27" s="20" t="n">
        <v>42899.5717687269</v>
      </c>
      <c r="J27" s="19" t="n">
        <v>42898.6557099769</v>
      </c>
      <c r="K27" s="20" t="n">
        <v>42898.6557099769</v>
      </c>
      <c r="L27" s="18" t="s">
        <v>15</v>
      </c>
      <c r="M27" s="18"/>
      <c r="N27" s="18"/>
      <c r="O27" s="18"/>
      <c r="P27" s="18" t="s">
        <v>58</v>
      </c>
    </row>
    <row collapsed="false" customFormat="false" customHeight="true" hidden="false" ht="25.5" outlineLevel="0" r="28">
      <c r="A28" s="18" t="s">
        <v>97</v>
      </c>
      <c r="B28" s="18" t="s">
        <v>98</v>
      </c>
      <c r="C28" s="18"/>
      <c r="D28" s="18" t="s">
        <v>54</v>
      </c>
      <c r="E28" s="18" t="s">
        <v>81</v>
      </c>
      <c r="F28" s="18"/>
      <c r="G28" s="18" t="s">
        <v>14</v>
      </c>
      <c r="H28" s="19" t="n">
        <v>42899.5953940972</v>
      </c>
      <c r="I28" s="20" t="n">
        <v>42899.5953940972</v>
      </c>
      <c r="J28" s="19" t="n">
        <v>42898.7305568403</v>
      </c>
      <c r="K28" s="20" t="n">
        <v>42898.7305568403</v>
      </c>
      <c r="L28" s="18" t="s">
        <v>15</v>
      </c>
      <c r="M28" s="18"/>
      <c r="N28" s="18"/>
      <c r="O28" s="18"/>
      <c r="P28" s="18" t="s">
        <v>16</v>
      </c>
    </row>
    <row collapsed="false" customFormat="false" customHeight="true" hidden="false" ht="25.5" outlineLevel="0" r="29">
      <c r="A29" s="18" t="s">
        <v>99</v>
      </c>
      <c r="B29" s="18" t="s">
        <v>100</v>
      </c>
      <c r="C29" s="18"/>
      <c r="D29" s="18" t="s">
        <v>54</v>
      </c>
      <c r="E29" s="18" t="s">
        <v>81</v>
      </c>
      <c r="F29" s="18"/>
      <c r="G29" s="18" t="s">
        <v>14</v>
      </c>
      <c r="H29" s="19" t="n">
        <v>42905.4416840625</v>
      </c>
      <c r="I29" s="20" t="n">
        <v>42905.4416840625</v>
      </c>
      <c r="J29" s="19" t="n">
        <v>42898.7321348148</v>
      </c>
      <c r="K29" s="20" t="n">
        <v>42898.7321348148</v>
      </c>
      <c r="L29" s="18" t="s">
        <v>15</v>
      </c>
      <c r="M29" s="18"/>
      <c r="N29" s="18"/>
      <c r="O29" s="18"/>
      <c r="P29" s="18" t="s">
        <v>16</v>
      </c>
    </row>
    <row collapsed="false" customFormat="false" customHeight="true" hidden="false" ht="25.5" outlineLevel="0" r="30">
      <c r="A30" s="18" t="s">
        <v>101</v>
      </c>
      <c r="B30" s="18" t="s">
        <v>22</v>
      </c>
      <c r="C30" s="18"/>
      <c r="D30" s="18" t="s">
        <v>23</v>
      </c>
      <c r="E30" s="18" t="s">
        <v>102</v>
      </c>
      <c r="F30" s="18"/>
      <c r="G30" s="18" t="s">
        <v>14</v>
      </c>
      <c r="H30" s="19" t="n">
        <v>42905.7129309954</v>
      </c>
      <c r="I30" s="20" t="n">
        <v>42905.7129309954</v>
      </c>
      <c r="J30" s="19" t="n">
        <v>42899.6300111227</v>
      </c>
      <c r="K30" s="20" t="n">
        <v>42899.6300111227</v>
      </c>
      <c r="L30" s="18" t="s">
        <v>15</v>
      </c>
      <c r="M30" s="18"/>
      <c r="N30" s="18"/>
      <c r="O30" s="18"/>
      <c r="P30" s="18" t="s">
        <v>46</v>
      </c>
    </row>
    <row collapsed="false" customFormat="false" customHeight="true" hidden="false" ht="25.5" outlineLevel="0" r="31">
      <c r="A31" s="18" t="s">
        <v>103</v>
      </c>
      <c r="B31" s="18" t="s">
        <v>104</v>
      </c>
      <c r="C31" s="18"/>
      <c r="D31" s="18" t="s">
        <v>61</v>
      </c>
      <c r="E31" s="18" t="s">
        <v>81</v>
      </c>
      <c r="F31" s="18"/>
      <c r="G31" s="18" t="s">
        <v>14</v>
      </c>
      <c r="H31" s="19" t="n">
        <v>42901.4592201736</v>
      </c>
      <c r="I31" s="20" t="n">
        <v>42901.4592201736</v>
      </c>
      <c r="J31" s="19" t="n">
        <v>42900.7072950926</v>
      </c>
      <c r="K31" s="20" t="n">
        <v>42900.7072950926</v>
      </c>
      <c r="L31" s="18" t="s">
        <v>15</v>
      </c>
      <c r="M31" s="18"/>
      <c r="N31" s="18"/>
      <c r="O31" s="18"/>
      <c r="P31" s="18" t="s">
        <v>29</v>
      </c>
    </row>
    <row collapsed="false" customFormat="false" customHeight="true" hidden="false" ht="25.5" outlineLevel="0" r="32">
      <c r="A32" s="18" t="s">
        <v>105</v>
      </c>
      <c r="B32" s="18" t="s">
        <v>106</v>
      </c>
      <c r="C32" s="18"/>
      <c r="D32" s="18" t="s">
        <v>107</v>
      </c>
      <c r="E32" s="18" t="s">
        <v>108</v>
      </c>
      <c r="F32" s="18"/>
      <c r="G32" s="18" t="s">
        <v>85</v>
      </c>
      <c r="H32" s="19" t="n">
        <v>42919.7466891551</v>
      </c>
      <c r="I32" s="20" t="n">
        <v>42919.7466891551</v>
      </c>
      <c r="J32" s="19" t="n">
        <v>42902.3444632986</v>
      </c>
      <c r="K32" s="20" t="n">
        <v>42902.3444632986</v>
      </c>
      <c r="L32" s="18" t="s">
        <v>15</v>
      </c>
      <c r="M32" s="18"/>
      <c r="N32" s="18"/>
      <c r="O32" s="18"/>
      <c r="P32" s="18" t="s">
        <v>109</v>
      </c>
    </row>
    <row collapsed="false" customFormat="false" customHeight="true" hidden="false" ht="25.5" outlineLevel="0" r="33">
      <c r="A33" s="18" t="s">
        <v>110</v>
      </c>
      <c r="B33" s="18" t="s">
        <v>111</v>
      </c>
      <c r="C33" s="18"/>
      <c r="D33" s="18" t="s">
        <v>112</v>
      </c>
      <c r="E33" s="18" t="s">
        <v>72</v>
      </c>
      <c r="F33" s="18"/>
      <c r="G33" s="18" t="s">
        <v>14</v>
      </c>
      <c r="H33" s="19" t="n">
        <v>42945.6005633449</v>
      </c>
      <c r="I33" s="20" t="n">
        <v>42945.6005633449</v>
      </c>
      <c r="J33" s="19" t="n">
        <v>42902.6737462616</v>
      </c>
      <c r="K33" s="20" t="n">
        <v>42902.6737462616</v>
      </c>
      <c r="L33" s="18" t="s">
        <v>15</v>
      </c>
      <c r="M33" s="18"/>
      <c r="N33" s="18"/>
      <c r="O33" s="18"/>
      <c r="P33" s="18" t="s">
        <v>46</v>
      </c>
    </row>
    <row collapsed="false" customFormat="false" customHeight="true" hidden="false" ht="25.5" outlineLevel="0" r="34">
      <c r="A34" s="18" t="s">
        <v>113</v>
      </c>
      <c r="B34" s="18" t="s">
        <v>114</v>
      </c>
      <c r="C34" s="18"/>
      <c r="D34" s="18" t="s">
        <v>88</v>
      </c>
      <c r="E34" s="18" t="s">
        <v>115</v>
      </c>
      <c r="F34" s="18"/>
      <c r="G34" s="18" t="s">
        <v>14</v>
      </c>
      <c r="H34" s="19" t="n">
        <v>42907.0849714583</v>
      </c>
      <c r="I34" s="20" t="n">
        <v>42907.0849714583</v>
      </c>
      <c r="J34" s="19" t="n">
        <v>42902.7364539005</v>
      </c>
      <c r="K34" s="20" t="n">
        <v>42902.7364539005</v>
      </c>
      <c r="L34" s="18" t="s">
        <v>15</v>
      </c>
      <c r="M34" s="18"/>
      <c r="N34" s="18"/>
      <c r="O34" s="18"/>
      <c r="P34" s="18" t="s">
        <v>29</v>
      </c>
    </row>
    <row collapsed="false" customFormat="false" customHeight="true" hidden="false" ht="25.5" outlineLevel="0" r="35">
      <c r="A35" s="18" t="s">
        <v>116</v>
      </c>
      <c r="B35" s="18" t="s">
        <v>117</v>
      </c>
      <c r="C35" s="18"/>
      <c r="D35" s="18" t="s">
        <v>118</v>
      </c>
      <c r="E35" s="18" t="s">
        <v>45</v>
      </c>
      <c r="F35" s="18"/>
      <c r="G35" s="18" t="s">
        <v>14</v>
      </c>
      <c r="H35" s="19" t="n">
        <v>42905.5917673843</v>
      </c>
      <c r="I35" s="20" t="n">
        <v>42905.5917673843</v>
      </c>
      <c r="J35" s="19" t="n">
        <v>42902.7438200116</v>
      </c>
      <c r="K35" s="20" t="n">
        <v>42902.7438200116</v>
      </c>
      <c r="L35" s="18" t="s">
        <v>15</v>
      </c>
      <c r="M35" s="18"/>
      <c r="N35" s="18"/>
      <c r="O35" s="18"/>
      <c r="P35" s="18" t="s">
        <v>58</v>
      </c>
    </row>
    <row collapsed="false" customFormat="false" customHeight="true" hidden="false" ht="25.5" outlineLevel="0" r="36">
      <c r="A36" s="18" t="s">
        <v>119</v>
      </c>
      <c r="B36" s="18" t="s">
        <v>120</v>
      </c>
      <c r="C36" s="18"/>
      <c r="D36" s="18" t="s">
        <v>121</v>
      </c>
      <c r="E36" s="18" t="s">
        <v>122</v>
      </c>
      <c r="F36" s="18"/>
      <c r="G36" s="18" t="s">
        <v>14</v>
      </c>
      <c r="H36" s="19" t="n">
        <v>42922.6388873727</v>
      </c>
      <c r="I36" s="20" t="n">
        <v>42922.6388873727</v>
      </c>
      <c r="J36" s="19" t="n">
        <v>42902.9725404514</v>
      </c>
      <c r="K36" s="20" t="n">
        <v>42902.9725404514</v>
      </c>
      <c r="L36" s="18" t="s">
        <v>15</v>
      </c>
      <c r="M36" s="18"/>
      <c r="N36" s="18"/>
      <c r="O36" s="18"/>
      <c r="P36" s="18" t="s">
        <v>29</v>
      </c>
    </row>
    <row collapsed="false" customFormat="false" customHeight="true" hidden="false" ht="25.5" outlineLevel="0" r="37">
      <c r="A37" s="18" t="s">
        <v>123</v>
      </c>
      <c r="B37" s="18" t="s">
        <v>124</v>
      </c>
      <c r="C37" s="18"/>
      <c r="D37" s="18" t="s">
        <v>125</v>
      </c>
      <c r="E37" s="18" t="s">
        <v>126</v>
      </c>
      <c r="F37" s="18"/>
      <c r="G37" s="18" t="s">
        <v>14</v>
      </c>
      <c r="H37" s="19" t="n">
        <v>42907.6083703357</v>
      </c>
      <c r="I37" s="20" t="n">
        <v>42907.6083703357</v>
      </c>
      <c r="J37" s="19" t="n">
        <v>42905.4454640278</v>
      </c>
      <c r="K37" s="20" t="n">
        <v>42905.4454640278</v>
      </c>
      <c r="L37" s="18" t="s">
        <v>15</v>
      </c>
      <c r="M37" s="18"/>
      <c r="N37" s="18"/>
      <c r="O37" s="18"/>
      <c r="P37" s="18" t="s">
        <v>29</v>
      </c>
    </row>
    <row collapsed="false" customFormat="false" customHeight="true" hidden="false" ht="25.5" outlineLevel="0" r="38">
      <c r="A38" s="18" t="s">
        <v>127</v>
      </c>
      <c r="B38" s="18" t="s">
        <v>124</v>
      </c>
      <c r="C38" s="18"/>
      <c r="D38" s="18" t="s">
        <v>125</v>
      </c>
      <c r="E38" s="18" t="s">
        <v>126</v>
      </c>
      <c r="F38" s="18"/>
      <c r="G38" s="18" t="s">
        <v>14</v>
      </c>
      <c r="H38" s="19" t="n">
        <v>42907.6087339699</v>
      </c>
      <c r="I38" s="20" t="n">
        <v>42907.6087339699</v>
      </c>
      <c r="J38" s="19" t="n">
        <v>42905.4873849653</v>
      </c>
      <c r="K38" s="20" t="n">
        <v>42905.4873849653</v>
      </c>
      <c r="L38" s="18" t="s">
        <v>15</v>
      </c>
      <c r="M38" s="18"/>
      <c r="N38" s="18"/>
      <c r="O38" s="18"/>
      <c r="P38" s="18" t="s">
        <v>29</v>
      </c>
    </row>
    <row collapsed="false" customFormat="false" customHeight="true" hidden="false" ht="25.5" outlineLevel="0" r="39">
      <c r="A39" s="18" t="s">
        <v>128</v>
      </c>
      <c r="B39" s="18" t="s">
        <v>129</v>
      </c>
      <c r="C39" s="18"/>
      <c r="D39" s="18" t="s">
        <v>130</v>
      </c>
      <c r="E39" s="18" t="s">
        <v>24</v>
      </c>
      <c r="F39" s="18"/>
      <c r="G39" s="18" t="s">
        <v>14</v>
      </c>
      <c r="H39" s="19" t="n">
        <v>42907.6004406482</v>
      </c>
      <c r="I39" s="20" t="n">
        <v>42907.6004406482</v>
      </c>
      <c r="J39" s="19" t="n">
        <v>42905.4967282176</v>
      </c>
      <c r="K39" s="20" t="n">
        <v>42905.4967282176</v>
      </c>
      <c r="L39" s="18" t="s">
        <v>15</v>
      </c>
      <c r="M39" s="18"/>
      <c r="N39" s="18"/>
      <c r="O39" s="18"/>
      <c r="P39" s="18" t="s">
        <v>29</v>
      </c>
    </row>
    <row collapsed="false" customFormat="false" customHeight="true" hidden="false" ht="25.5" outlineLevel="0" r="40">
      <c r="A40" s="18" t="s">
        <v>131</v>
      </c>
      <c r="B40" s="18" t="s">
        <v>132</v>
      </c>
      <c r="C40" s="18"/>
      <c r="D40" s="18" t="s">
        <v>40</v>
      </c>
      <c r="E40" s="18" t="s">
        <v>133</v>
      </c>
      <c r="F40" s="18"/>
      <c r="G40" s="18" t="s">
        <v>14</v>
      </c>
      <c r="H40" s="19" t="n">
        <v>42907.6025941204</v>
      </c>
      <c r="I40" s="20" t="n">
        <v>42907.6025941204</v>
      </c>
      <c r="J40" s="19" t="n">
        <v>42905.8870565972</v>
      </c>
      <c r="K40" s="20" t="n">
        <v>42905.8870565972</v>
      </c>
      <c r="L40" s="18" t="s">
        <v>15</v>
      </c>
      <c r="M40" s="18"/>
      <c r="N40" s="18"/>
      <c r="O40" s="18"/>
      <c r="P40" s="18" t="s">
        <v>29</v>
      </c>
    </row>
    <row collapsed="false" customFormat="false" customHeight="true" hidden="false" ht="25.5" outlineLevel="0" r="41">
      <c r="A41" s="18" t="s">
        <v>134</v>
      </c>
      <c r="B41" s="18" t="s">
        <v>135</v>
      </c>
      <c r="C41" s="18"/>
      <c r="D41" s="18" t="s">
        <v>136</v>
      </c>
      <c r="E41" s="18" t="s">
        <v>137</v>
      </c>
      <c r="F41" s="18"/>
      <c r="G41" s="18" t="s">
        <v>85</v>
      </c>
      <c r="H41" s="19" t="n">
        <v>43055.4259765394</v>
      </c>
      <c r="I41" s="20" t="n">
        <v>43055.4259765394</v>
      </c>
      <c r="J41" s="19" t="n">
        <v>42906.6758507755</v>
      </c>
      <c r="K41" s="20" t="n">
        <v>42906.6758507755</v>
      </c>
      <c r="L41" s="18" t="s">
        <v>15</v>
      </c>
      <c r="M41" s="18"/>
      <c r="N41" s="18"/>
      <c r="O41" s="18"/>
      <c r="P41" s="18" t="s">
        <v>16</v>
      </c>
    </row>
    <row collapsed="false" customFormat="false" customHeight="true" hidden="false" ht="25.5" outlineLevel="0" r="42">
      <c r="A42" s="18" t="s">
        <v>138</v>
      </c>
      <c r="B42" s="18" t="s">
        <v>139</v>
      </c>
      <c r="C42" s="18"/>
      <c r="D42" s="18" t="s">
        <v>140</v>
      </c>
      <c r="E42" s="18" t="s">
        <v>122</v>
      </c>
      <c r="F42" s="18"/>
      <c r="G42" s="18" t="s">
        <v>14</v>
      </c>
      <c r="H42" s="19" t="n">
        <v>42909.2921225</v>
      </c>
      <c r="I42" s="20" t="n">
        <v>42909.2921225</v>
      </c>
      <c r="J42" s="19" t="n">
        <v>42906.6772510185</v>
      </c>
      <c r="K42" s="20" t="n">
        <v>42906.6772510185</v>
      </c>
      <c r="L42" s="18" t="s">
        <v>15</v>
      </c>
      <c r="M42" s="18"/>
      <c r="N42" s="18"/>
      <c r="O42" s="18"/>
      <c r="P42" s="18" t="s">
        <v>16</v>
      </c>
    </row>
    <row collapsed="false" customFormat="false" customHeight="true" hidden="false" ht="25.5" outlineLevel="0" r="43">
      <c r="A43" s="18" t="s">
        <v>141</v>
      </c>
      <c r="B43" s="18" t="s">
        <v>142</v>
      </c>
      <c r="C43" s="18"/>
      <c r="D43" s="18" t="s">
        <v>140</v>
      </c>
      <c r="E43" s="18" t="s">
        <v>122</v>
      </c>
      <c r="F43" s="18"/>
      <c r="G43" s="18" t="s">
        <v>14</v>
      </c>
      <c r="H43" s="19" t="n">
        <v>42907.6707240394</v>
      </c>
      <c r="I43" s="20" t="n">
        <v>42907.6707240394</v>
      </c>
      <c r="J43" s="19" t="n">
        <v>42906.9455422685</v>
      </c>
      <c r="K43" s="20" t="n">
        <v>42906.9455422685</v>
      </c>
      <c r="L43" s="18" t="s">
        <v>15</v>
      </c>
      <c r="M43" s="18"/>
      <c r="N43" s="18"/>
      <c r="O43" s="18"/>
      <c r="P43" s="18" t="s">
        <v>29</v>
      </c>
    </row>
    <row collapsed="false" customFormat="false" customHeight="true" hidden="false" ht="25.5" outlineLevel="0" r="44">
      <c r="A44" s="18" t="s">
        <v>143</v>
      </c>
      <c r="B44" s="18" t="s">
        <v>144</v>
      </c>
      <c r="C44" s="18"/>
      <c r="D44" s="18" t="s">
        <v>145</v>
      </c>
      <c r="E44" s="18" t="s">
        <v>108</v>
      </c>
      <c r="F44" s="18"/>
      <c r="G44" s="18" t="s">
        <v>14</v>
      </c>
      <c r="H44" s="19" t="n">
        <v>42921.5421058449</v>
      </c>
      <c r="I44" s="20" t="n">
        <v>42921.5421058449</v>
      </c>
      <c r="J44" s="19" t="n">
        <v>42907.372979757</v>
      </c>
      <c r="K44" s="20" t="n">
        <v>42907.372979757</v>
      </c>
      <c r="L44" s="18" t="s">
        <v>15</v>
      </c>
      <c r="M44" s="18"/>
      <c r="N44" s="18"/>
      <c r="O44" s="18"/>
      <c r="P44" s="18" t="s">
        <v>58</v>
      </c>
    </row>
    <row collapsed="false" customFormat="false" customHeight="true" hidden="false" ht="25.5" outlineLevel="0" r="45">
      <c r="A45" s="18" t="s">
        <v>146</v>
      </c>
      <c r="B45" s="18" t="s">
        <v>147</v>
      </c>
      <c r="C45" s="18"/>
      <c r="D45" s="18" t="s">
        <v>148</v>
      </c>
      <c r="E45" s="18" t="s">
        <v>72</v>
      </c>
      <c r="F45" s="18"/>
      <c r="G45" s="18" t="s">
        <v>14</v>
      </c>
      <c r="H45" s="19" t="n">
        <v>42908.6242202083</v>
      </c>
      <c r="I45" s="20" t="n">
        <v>42908.6242202083</v>
      </c>
      <c r="J45" s="19" t="n">
        <v>42907.5321448727</v>
      </c>
      <c r="K45" s="20" t="n">
        <v>42907.5321448727</v>
      </c>
      <c r="L45" s="18" t="s">
        <v>15</v>
      </c>
      <c r="M45" s="18"/>
      <c r="N45" s="18"/>
      <c r="O45" s="18"/>
      <c r="P45" s="18" t="s">
        <v>29</v>
      </c>
    </row>
    <row collapsed="false" customFormat="false" customHeight="true" hidden="false" ht="25.5" outlineLevel="0" r="46">
      <c r="A46" s="18" t="s">
        <v>149</v>
      </c>
      <c r="B46" s="18" t="s">
        <v>150</v>
      </c>
      <c r="C46" s="18"/>
      <c r="D46" s="18" t="s">
        <v>151</v>
      </c>
      <c r="E46" s="18" t="s">
        <v>109</v>
      </c>
      <c r="F46" s="18"/>
      <c r="G46" s="18" t="s">
        <v>14</v>
      </c>
      <c r="H46" s="19" t="n">
        <v>42911.4719198495</v>
      </c>
      <c r="I46" s="20" t="n">
        <v>42911.4719198495</v>
      </c>
      <c r="J46" s="19" t="n">
        <v>42907.6518111806</v>
      </c>
      <c r="K46" s="20" t="n">
        <v>42907.6518111806</v>
      </c>
      <c r="L46" s="18" t="s">
        <v>15</v>
      </c>
      <c r="M46" s="18"/>
      <c r="N46" s="18"/>
      <c r="O46" s="18"/>
      <c r="P46" s="18" t="s">
        <v>16</v>
      </c>
    </row>
    <row collapsed="false" customFormat="false" customHeight="true" hidden="false" ht="25.5" outlineLevel="0" r="47">
      <c r="A47" s="18" t="s">
        <v>152</v>
      </c>
      <c r="B47" s="18" t="s">
        <v>153</v>
      </c>
      <c r="C47" s="18"/>
      <c r="D47" s="18" t="s">
        <v>154</v>
      </c>
      <c r="E47" s="18" t="s">
        <v>28</v>
      </c>
      <c r="F47" s="18"/>
      <c r="G47" s="18" t="s">
        <v>14</v>
      </c>
      <c r="H47" s="19" t="n">
        <v>42918.3957873032</v>
      </c>
      <c r="I47" s="20" t="n">
        <v>42918.3957873032</v>
      </c>
      <c r="J47" s="19" t="n">
        <v>42907.7369756366</v>
      </c>
      <c r="K47" s="20" t="n">
        <v>42907.7369756366</v>
      </c>
      <c r="L47" s="18" t="s">
        <v>15</v>
      </c>
      <c r="M47" s="18"/>
      <c r="N47" s="18"/>
      <c r="O47" s="18"/>
      <c r="P47" s="18" t="s">
        <v>46</v>
      </c>
    </row>
    <row collapsed="false" customFormat="false" customHeight="true" hidden="false" ht="25.5" outlineLevel="0" r="48">
      <c r="A48" s="18" t="s">
        <v>155</v>
      </c>
      <c r="B48" s="18" t="s">
        <v>156</v>
      </c>
      <c r="C48" s="18"/>
      <c r="D48" s="18" t="s">
        <v>140</v>
      </c>
      <c r="E48" s="18" t="s">
        <v>72</v>
      </c>
      <c r="F48" s="18"/>
      <c r="G48" s="18" t="s">
        <v>14</v>
      </c>
      <c r="H48" s="19" t="n">
        <v>42914.0839920023</v>
      </c>
      <c r="I48" s="20" t="n">
        <v>42914.0839920023</v>
      </c>
      <c r="J48" s="19" t="n">
        <v>42908.4731283449</v>
      </c>
      <c r="K48" s="20" t="n">
        <v>42908.4731283449</v>
      </c>
      <c r="L48" s="18" t="s">
        <v>15</v>
      </c>
      <c r="M48" s="18"/>
      <c r="N48" s="18"/>
      <c r="O48" s="18"/>
      <c r="P48" s="18" t="s">
        <v>58</v>
      </c>
    </row>
    <row collapsed="false" customFormat="false" customHeight="true" hidden="false" ht="25.5" outlineLevel="0" r="49">
      <c r="A49" s="18" t="s">
        <v>157</v>
      </c>
      <c r="B49" s="18" t="s">
        <v>158</v>
      </c>
      <c r="C49" s="18"/>
      <c r="D49" s="18" t="s">
        <v>140</v>
      </c>
      <c r="E49" s="18" t="s">
        <v>72</v>
      </c>
      <c r="F49" s="18"/>
      <c r="G49" s="18" t="s">
        <v>14</v>
      </c>
      <c r="H49" s="19" t="n">
        <v>42911.7149796181</v>
      </c>
      <c r="I49" s="20" t="n">
        <v>42911.7149796181</v>
      </c>
      <c r="J49" s="19" t="n">
        <v>42908.4996737153</v>
      </c>
      <c r="K49" s="20" t="n">
        <v>42908.4996737153</v>
      </c>
      <c r="L49" s="18" t="s">
        <v>15</v>
      </c>
      <c r="M49" s="18"/>
      <c r="N49" s="18"/>
      <c r="O49" s="18"/>
      <c r="P49" s="18" t="s">
        <v>29</v>
      </c>
    </row>
    <row collapsed="false" customFormat="false" customHeight="true" hidden="false" ht="25.5" outlineLevel="0" r="50">
      <c r="A50" s="18" t="s">
        <v>159</v>
      </c>
      <c r="B50" s="18" t="s">
        <v>160</v>
      </c>
      <c r="C50" s="18"/>
      <c r="D50" s="18" t="s">
        <v>161</v>
      </c>
      <c r="E50" s="18" t="s">
        <v>108</v>
      </c>
      <c r="F50" s="18"/>
      <c r="G50" s="18" t="s">
        <v>14</v>
      </c>
      <c r="H50" s="19" t="n">
        <v>42916.6108801157</v>
      </c>
      <c r="I50" s="20" t="n">
        <v>42916.6108801157</v>
      </c>
      <c r="J50" s="19" t="n">
        <v>42908.5140878241</v>
      </c>
      <c r="K50" s="20" t="n">
        <v>42908.5140878241</v>
      </c>
      <c r="L50" s="18" t="s">
        <v>15</v>
      </c>
      <c r="M50" s="18"/>
      <c r="N50" s="18"/>
      <c r="O50" s="18"/>
      <c r="P50" s="18" t="s">
        <v>29</v>
      </c>
    </row>
    <row collapsed="false" customFormat="false" customHeight="true" hidden="false" ht="25.5" outlineLevel="0" r="51">
      <c r="A51" s="18" t="s">
        <v>162</v>
      </c>
      <c r="B51" s="18" t="s">
        <v>163</v>
      </c>
      <c r="C51" s="18"/>
      <c r="D51" s="18" t="s">
        <v>164</v>
      </c>
      <c r="E51" s="18" t="s">
        <v>126</v>
      </c>
      <c r="F51" s="18"/>
      <c r="G51" s="18" t="s">
        <v>14</v>
      </c>
      <c r="H51" s="19" t="n">
        <v>42909.5269081366</v>
      </c>
      <c r="I51" s="20" t="n">
        <v>42909.5269081366</v>
      </c>
      <c r="J51" s="19" t="n">
        <v>42908.6332856713</v>
      </c>
      <c r="K51" s="20" t="n">
        <v>42908.6332856713</v>
      </c>
      <c r="L51" s="18" t="s">
        <v>15</v>
      </c>
      <c r="M51" s="18"/>
      <c r="N51" s="18"/>
      <c r="O51" s="18"/>
      <c r="P51" s="18" t="s">
        <v>29</v>
      </c>
    </row>
    <row collapsed="false" customFormat="false" customHeight="true" hidden="false" ht="25.5" outlineLevel="0" r="52">
      <c r="A52" s="18" t="s">
        <v>165</v>
      </c>
      <c r="B52" s="18" t="s">
        <v>166</v>
      </c>
      <c r="C52" s="18"/>
      <c r="D52" s="18" t="s">
        <v>96</v>
      </c>
      <c r="E52" s="18" t="s">
        <v>96</v>
      </c>
      <c r="F52" s="18"/>
      <c r="G52" s="18" t="s">
        <v>14</v>
      </c>
      <c r="H52" s="19" t="n">
        <v>42912.6316483102</v>
      </c>
      <c r="I52" s="20" t="n">
        <v>42912.6316483102</v>
      </c>
      <c r="J52" s="19" t="n">
        <v>42908.7364715394</v>
      </c>
      <c r="K52" s="20" t="n">
        <v>42908.7364715394</v>
      </c>
      <c r="L52" s="18" t="s">
        <v>15</v>
      </c>
      <c r="M52" s="18"/>
      <c r="N52" s="18"/>
      <c r="O52" s="18"/>
      <c r="P52" s="18" t="s">
        <v>46</v>
      </c>
    </row>
    <row collapsed="false" customFormat="false" customHeight="true" hidden="false" ht="25.5" outlineLevel="0" r="53">
      <c r="A53" s="18" t="s">
        <v>167</v>
      </c>
      <c r="B53" s="18" t="s">
        <v>168</v>
      </c>
      <c r="C53" s="18"/>
      <c r="D53" s="18" t="s">
        <v>169</v>
      </c>
      <c r="E53" s="18" t="s">
        <v>28</v>
      </c>
      <c r="F53" s="18"/>
      <c r="G53" s="18" t="s">
        <v>14</v>
      </c>
      <c r="H53" s="19" t="n">
        <v>42912.4018030671</v>
      </c>
      <c r="I53" s="20" t="n">
        <v>42912.4018030671</v>
      </c>
      <c r="J53" s="19" t="n">
        <v>42908.9212867593</v>
      </c>
      <c r="K53" s="20" t="n">
        <v>42908.9212867593</v>
      </c>
      <c r="L53" s="18" t="s">
        <v>15</v>
      </c>
      <c r="M53" s="18"/>
      <c r="N53" s="18"/>
      <c r="O53" s="18"/>
      <c r="P53" s="18" t="s">
        <v>29</v>
      </c>
    </row>
    <row collapsed="false" customFormat="false" customHeight="true" hidden="false" ht="25.5" outlineLevel="0" r="54">
      <c r="A54" s="18" t="s">
        <v>170</v>
      </c>
      <c r="B54" s="18" t="s">
        <v>171</v>
      </c>
      <c r="C54" s="18"/>
      <c r="D54" s="18" t="s">
        <v>140</v>
      </c>
      <c r="E54" s="18" t="s">
        <v>72</v>
      </c>
      <c r="F54" s="18"/>
      <c r="G54" s="18" t="s">
        <v>14</v>
      </c>
      <c r="H54" s="19" t="n">
        <v>42914.0843416435</v>
      </c>
      <c r="I54" s="20" t="n">
        <v>42914.0843416435</v>
      </c>
      <c r="J54" s="19" t="n">
        <v>42909.7131197454</v>
      </c>
      <c r="K54" s="20" t="n">
        <v>42909.7131197454</v>
      </c>
      <c r="L54" s="18" t="s">
        <v>15</v>
      </c>
      <c r="M54" s="18"/>
      <c r="N54" s="18"/>
      <c r="O54" s="18"/>
      <c r="P54" s="18" t="s">
        <v>29</v>
      </c>
    </row>
    <row collapsed="false" customFormat="false" customHeight="true" hidden="false" ht="25.5" outlineLevel="0" r="55">
      <c r="A55" s="18" t="s">
        <v>172</v>
      </c>
      <c r="B55" s="18" t="s">
        <v>173</v>
      </c>
      <c r="C55" s="18"/>
      <c r="D55" s="18" t="s">
        <v>174</v>
      </c>
      <c r="E55" s="18" t="s">
        <v>175</v>
      </c>
      <c r="F55" s="18"/>
      <c r="G55" s="18" t="s">
        <v>14</v>
      </c>
      <c r="H55" s="19" t="n">
        <v>42915.4858763773</v>
      </c>
      <c r="I55" s="20" t="n">
        <v>42915.4858763773</v>
      </c>
      <c r="J55" s="19" t="n">
        <v>42909.9384311574</v>
      </c>
      <c r="K55" s="20" t="n">
        <v>42909.9384311574</v>
      </c>
      <c r="L55" s="18" t="s">
        <v>15</v>
      </c>
      <c r="M55" s="18"/>
      <c r="N55" s="18"/>
      <c r="O55" s="18"/>
      <c r="P55" s="18" t="s">
        <v>29</v>
      </c>
    </row>
    <row collapsed="false" customFormat="false" customHeight="true" hidden="false" ht="25.5" outlineLevel="0" r="56">
      <c r="A56" s="18" t="s">
        <v>176</v>
      </c>
      <c r="B56" s="18" t="s">
        <v>177</v>
      </c>
      <c r="C56" s="18"/>
      <c r="D56" s="18" t="s">
        <v>88</v>
      </c>
      <c r="E56" s="18" t="s">
        <v>115</v>
      </c>
      <c r="F56" s="18"/>
      <c r="G56" s="18" t="s">
        <v>14</v>
      </c>
      <c r="H56" s="19" t="n">
        <v>42915.0845276157</v>
      </c>
      <c r="I56" s="20" t="n">
        <v>42915.0845276157</v>
      </c>
      <c r="J56" s="19" t="n">
        <v>42912.4939295139</v>
      </c>
      <c r="K56" s="20" t="n">
        <v>42912.4939295139</v>
      </c>
      <c r="L56" s="18" t="s">
        <v>15</v>
      </c>
      <c r="M56" s="18"/>
      <c r="N56" s="18"/>
      <c r="O56" s="18"/>
      <c r="P56" s="18" t="s">
        <v>58</v>
      </c>
    </row>
    <row collapsed="false" customFormat="false" customHeight="true" hidden="false" ht="25.5" outlineLevel="0" r="57">
      <c r="A57" s="18" t="s">
        <v>178</v>
      </c>
      <c r="B57" s="18" t="s">
        <v>179</v>
      </c>
      <c r="C57" s="18"/>
      <c r="D57" s="18" t="s">
        <v>125</v>
      </c>
      <c r="E57" s="18" t="s">
        <v>126</v>
      </c>
      <c r="F57" s="18"/>
      <c r="G57" s="18" t="s">
        <v>14</v>
      </c>
      <c r="H57" s="19" t="n">
        <v>42912.5317527199</v>
      </c>
      <c r="I57" s="20" t="n">
        <v>42912.5317527199</v>
      </c>
      <c r="J57" s="19" t="n">
        <v>42912.4954524306</v>
      </c>
      <c r="K57" s="20" t="n">
        <v>42912.4954524306</v>
      </c>
      <c r="L57" s="18" t="s">
        <v>15</v>
      </c>
      <c r="M57" s="18"/>
      <c r="N57" s="18"/>
      <c r="O57" s="18"/>
      <c r="P57" s="18" t="s">
        <v>29</v>
      </c>
    </row>
    <row collapsed="false" customFormat="false" customHeight="true" hidden="false" ht="25.5" outlineLevel="0" r="58">
      <c r="A58" s="18" t="s">
        <v>180</v>
      </c>
      <c r="B58" s="18" t="s">
        <v>181</v>
      </c>
      <c r="C58" s="18"/>
      <c r="D58" s="18" t="s">
        <v>182</v>
      </c>
      <c r="E58" s="18" t="s">
        <v>183</v>
      </c>
      <c r="F58" s="18"/>
      <c r="G58" s="18" t="s">
        <v>14</v>
      </c>
      <c r="H58" s="19" t="n">
        <v>42914.6809026968</v>
      </c>
      <c r="I58" s="20" t="n">
        <v>42914.6809026968</v>
      </c>
      <c r="J58" s="19" t="n">
        <v>42912.6598284144</v>
      </c>
      <c r="K58" s="20" t="n">
        <v>42912.6598284144</v>
      </c>
      <c r="L58" s="18" t="s">
        <v>15</v>
      </c>
      <c r="M58" s="18"/>
      <c r="N58" s="18"/>
      <c r="O58" s="18"/>
      <c r="P58" s="18" t="s">
        <v>29</v>
      </c>
    </row>
    <row collapsed="false" customFormat="false" customHeight="true" hidden="false" ht="25.5" outlineLevel="0" r="59">
      <c r="A59" s="18" t="s">
        <v>184</v>
      </c>
      <c r="B59" s="18" t="s">
        <v>185</v>
      </c>
      <c r="C59" s="18"/>
      <c r="D59" s="18" t="s">
        <v>186</v>
      </c>
      <c r="E59" s="18" t="s">
        <v>13</v>
      </c>
      <c r="F59" s="18"/>
      <c r="G59" s="18" t="s">
        <v>14</v>
      </c>
      <c r="H59" s="19" t="n">
        <v>42915.5887589352</v>
      </c>
      <c r="I59" s="20" t="n">
        <v>42915.5887589352</v>
      </c>
      <c r="J59" s="19" t="n">
        <v>42912.7248455324</v>
      </c>
      <c r="K59" s="20" t="n">
        <v>42912.7248455324</v>
      </c>
      <c r="L59" s="18" t="s">
        <v>15</v>
      </c>
      <c r="M59" s="18"/>
      <c r="N59" s="18"/>
      <c r="O59" s="18"/>
      <c r="P59" s="18" t="s">
        <v>29</v>
      </c>
    </row>
    <row collapsed="false" customFormat="false" customHeight="true" hidden="false" ht="25.5" outlineLevel="0" r="60">
      <c r="A60" s="18" t="s">
        <v>187</v>
      </c>
      <c r="B60" s="18" t="s">
        <v>188</v>
      </c>
      <c r="C60" s="18"/>
      <c r="D60" s="18" t="s">
        <v>61</v>
      </c>
      <c r="E60" s="18" t="s">
        <v>72</v>
      </c>
      <c r="F60" s="18"/>
      <c r="G60" s="18" t="s">
        <v>14</v>
      </c>
      <c r="H60" s="19" t="n">
        <v>42915.7169279514</v>
      </c>
      <c r="I60" s="20" t="n">
        <v>42915.7169279514</v>
      </c>
      <c r="J60" s="19" t="n">
        <v>42915.6483138079</v>
      </c>
      <c r="K60" s="20" t="n">
        <v>42915.6483138079</v>
      </c>
      <c r="L60" s="18" t="s">
        <v>15</v>
      </c>
      <c r="M60" s="18"/>
      <c r="N60" s="18"/>
      <c r="O60" s="18"/>
      <c r="P60" s="18" t="s">
        <v>29</v>
      </c>
    </row>
    <row collapsed="false" customFormat="false" customHeight="true" hidden="false" ht="25.5" outlineLevel="0" r="61">
      <c r="A61" s="18" t="s">
        <v>189</v>
      </c>
      <c r="B61" s="18" t="s">
        <v>190</v>
      </c>
      <c r="C61" s="18"/>
      <c r="D61" s="18" t="s">
        <v>140</v>
      </c>
      <c r="E61" s="18" t="s">
        <v>175</v>
      </c>
      <c r="F61" s="18"/>
      <c r="G61" s="18" t="s">
        <v>14</v>
      </c>
      <c r="H61" s="19" t="n">
        <v>42921.0845721644</v>
      </c>
      <c r="I61" s="20" t="n">
        <v>42921.0845721644</v>
      </c>
      <c r="J61" s="19" t="n">
        <v>42916.9759287963</v>
      </c>
      <c r="K61" s="20" t="n">
        <v>42916.9759287963</v>
      </c>
      <c r="L61" s="18" t="s">
        <v>15</v>
      </c>
      <c r="M61" s="18"/>
      <c r="N61" s="18"/>
      <c r="O61" s="18"/>
      <c r="P61" s="18" t="s">
        <v>58</v>
      </c>
    </row>
    <row collapsed="false" customFormat="false" customHeight="true" hidden="false" ht="25.5" outlineLevel="0" r="62">
      <c r="A62" s="18" t="s">
        <v>191</v>
      </c>
      <c r="B62" s="18" t="s">
        <v>192</v>
      </c>
      <c r="C62" s="18"/>
      <c r="D62" s="18" t="s">
        <v>193</v>
      </c>
      <c r="E62" s="18" t="s">
        <v>72</v>
      </c>
      <c r="F62" s="18"/>
      <c r="G62" s="18" t="s">
        <v>14</v>
      </c>
      <c r="H62" s="19" t="n">
        <v>42921.0846093866</v>
      </c>
      <c r="I62" s="20" t="n">
        <v>42921.0846093866</v>
      </c>
      <c r="J62" s="19" t="n">
        <v>42919.4009502315</v>
      </c>
      <c r="K62" s="20" t="n">
        <v>42919.4009502315</v>
      </c>
      <c r="L62" s="18" t="s">
        <v>15</v>
      </c>
      <c r="M62" s="18"/>
      <c r="N62" s="18"/>
      <c r="O62" s="18"/>
      <c r="P62" s="18" t="s">
        <v>29</v>
      </c>
    </row>
    <row collapsed="false" customFormat="false" customHeight="true" hidden="false" ht="25.5" outlineLevel="0" r="63">
      <c r="A63" s="18" t="s">
        <v>194</v>
      </c>
      <c r="B63" s="18" t="s">
        <v>195</v>
      </c>
      <c r="C63" s="18"/>
      <c r="D63" s="18" t="s">
        <v>54</v>
      </c>
      <c r="E63" s="18" t="s">
        <v>81</v>
      </c>
      <c r="F63" s="18"/>
      <c r="G63" s="18" t="s">
        <v>14</v>
      </c>
      <c r="H63" s="19" t="n">
        <v>42919.6061510532</v>
      </c>
      <c r="I63" s="20" t="n">
        <v>42919.6061510532</v>
      </c>
      <c r="J63" s="19" t="n">
        <v>42919.464950706</v>
      </c>
      <c r="K63" s="20" t="n">
        <v>42919.464950706</v>
      </c>
      <c r="L63" s="18" t="s">
        <v>15</v>
      </c>
      <c r="M63" s="18"/>
      <c r="N63" s="18"/>
      <c r="O63" s="18"/>
      <c r="P63" s="18" t="s">
        <v>46</v>
      </c>
    </row>
    <row collapsed="false" customFormat="false" customHeight="true" hidden="false" ht="25.5" outlineLevel="0" r="64">
      <c r="A64" s="18" t="s">
        <v>196</v>
      </c>
      <c r="B64" s="18" t="s">
        <v>197</v>
      </c>
      <c r="C64" s="18"/>
      <c r="D64" s="18" t="s">
        <v>54</v>
      </c>
      <c r="E64" s="18" t="s">
        <v>81</v>
      </c>
      <c r="F64" s="18"/>
      <c r="G64" s="18" t="s">
        <v>14</v>
      </c>
      <c r="H64" s="19" t="n">
        <v>42921.5004906019</v>
      </c>
      <c r="I64" s="20" t="n">
        <v>42921.5004906019</v>
      </c>
      <c r="J64" s="19" t="n">
        <v>42919.4673653009</v>
      </c>
      <c r="K64" s="20" t="n">
        <v>42919.4673653009</v>
      </c>
      <c r="L64" s="18" t="s">
        <v>15</v>
      </c>
      <c r="M64" s="18"/>
      <c r="N64" s="18"/>
      <c r="O64" s="18"/>
      <c r="P64" s="18" t="s">
        <v>58</v>
      </c>
    </row>
    <row collapsed="false" customFormat="false" customHeight="true" hidden="false" ht="25.5" outlineLevel="0" r="65">
      <c r="A65" s="18" t="s">
        <v>198</v>
      </c>
      <c r="B65" s="18" t="s">
        <v>199</v>
      </c>
      <c r="C65" s="18"/>
      <c r="D65" s="18" t="s">
        <v>200</v>
      </c>
      <c r="E65" s="18" t="s">
        <v>33</v>
      </c>
      <c r="F65" s="18"/>
      <c r="G65" s="18" t="s">
        <v>14</v>
      </c>
      <c r="H65" s="19" t="n">
        <v>42921.5838008449</v>
      </c>
      <c r="I65" s="20" t="n">
        <v>42921.5838008449</v>
      </c>
      <c r="J65" s="19" t="n">
        <v>42919.7179456829</v>
      </c>
      <c r="K65" s="20" t="n">
        <v>42919.7179456829</v>
      </c>
      <c r="L65" s="18" t="s">
        <v>15</v>
      </c>
      <c r="M65" s="18"/>
      <c r="N65" s="18"/>
      <c r="O65" s="18"/>
      <c r="P65" s="18" t="s">
        <v>58</v>
      </c>
    </row>
    <row collapsed="false" customFormat="false" customHeight="true" hidden="false" ht="25.5" outlineLevel="0" r="66">
      <c r="A66" s="18" t="s">
        <v>201</v>
      </c>
      <c r="B66" s="18" t="s">
        <v>202</v>
      </c>
      <c r="C66" s="18"/>
      <c r="D66" s="18" t="s">
        <v>54</v>
      </c>
      <c r="E66" s="18" t="s">
        <v>81</v>
      </c>
      <c r="F66" s="18"/>
      <c r="G66" s="18" t="s">
        <v>14</v>
      </c>
      <c r="H66" s="19" t="n">
        <v>42921.5005301273</v>
      </c>
      <c r="I66" s="20" t="n">
        <v>42921.5005301273</v>
      </c>
      <c r="J66" s="19" t="n">
        <v>42919.7204132639</v>
      </c>
      <c r="K66" s="20" t="n">
        <v>42919.7204132639</v>
      </c>
      <c r="L66" s="18" t="s">
        <v>15</v>
      </c>
      <c r="M66" s="18"/>
      <c r="N66" s="18"/>
      <c r="O66" s="18"/>
      <c r="P66" s="18" t="s">
        <v>58</v>
      </c>
    </row>
    <row collapsed="false" customFormat="false" customHeight="true" hidden="false" ht="25.5" outlineLevel="0" r="67">
      <c r="A67" s="18" t="s">
        <v>203</v>
      </c>
      <c r="B67" s="18" t="s">
        <v>204</v>
      </c>
      <c r="C67" s="18"/>
      <c r="D67" s="18" t="s">
        <v>107</v>
      </c>
      <c r="E67" s="18" t="s">
        <v>109</v>
      </c>
      <c r="F67" s="18"/>
      <c r="G67" s="18" t="s">
        <v>14</v>
      </c>
      <c r="H67" s="19" t="n">
        <v>42922.0845896065</v>
      </c>
      <c r="I67" s="20" t="n">
        <v>42922.0845896065</v>
      </c>
      <c r="J67" s="19" t="n">
        <v>42919.7209586806</v>
      </c>
      <c r="K67" s="20" t="n">
        <v>42919.7209586806</v>
      </c>
      <c r="L67" s="18" t="s">
        <v>15</v>
      </c>
      <c r="M67" s="18"/>
      <c r="N67" s="18"/>
      <c r="O67" s="18"/>
      <c r="P67" s="18" t="s">
        <v>58</v>
      </c>
    </row>
    <row collapsed="false" customFormat="false" customHeight="true" hidden="false" ht="25.5" outlineLevel="0" r="68">
      <c r="A68" s="18" t="s">
        <v>205</v>
      </c>
      <c r="B68" s="18" t="s">
        <v>206</v>
      </c>
      <c r="C68" s="18"/>
      <c r="D68" s="18" t="s">
        <v>207</v>
      </c>
      <c r="E68" s="18" t="s">
        <v>208</v>
      </c>
      <c r="F68" s="18"/>
      <c r="G68" s="18" t="s">
        <v>14</v>
      </c>
      <c r="H68" s="19" t="n">
        <v>42921.4889533912</v>
      </c>
      <c r="I68" s="20" t="n">
        <v>42921.4889533912</v>
      </c>
      <c r="J68" s="19" t="n">
        <v>42920.695838044</v>
      </c>
      <c r="K68" s="20" t="n">
        <v>42920.695838044</v>
      </c>
      <c r="L68" s="18" t="s">
        <v>15</v>
      </c>
      <c r="M68" s="18"/>
      <c r="N68" s="18"/>
      <c r="O68" s="18"/>
      <c r="P68" s="18" t="s">
        <v>29</v>
      </c>
    </row>
    <row collapsed="false" customFormat="false" customHeight="true" hidden="false" ht="25.5" outlineLevel="0" r="69">
      <c r="A69" s="18" t="s">
        <v>209</v>
      </c>
      <c r="B69" s="18" t="s">
        <v>210</v>
      </c>
      <c r="C69" s="18"/>
      <c r="D69" s="18" t="s">
        <v>154</v>
      </c>
      <c r="E69" s="18" t="s">
        <v>28</v>
      </c>
      <c r="F69" s="18"/>
      <c r="G69" s="18" t="s">
        <v>14</v>
      </c>
      <c r="H69" s="19" t="n">
        <v>42929.7306847106</v>
      </c>
      <c r="I69" s="20" t="n">
        <v>42929.7306847106</v>
      </c>
      <c r="J69" s="19" t="n">
        <v>42920.810438912</v>
      </c>
      <c r="K69" s="20" t="n">
        <v>42920.810438912</v>
      </c>
      <c r="L69" s="18" t="s">
        <v>15</v>
      </c>
      <c r="M69" s="18"/>
      <c r="N69" s="18"/>
      <c r="O69" s="18"/>
      <c r="P69" s="18" t="s">
        <v>46</v>
      </c>
    </row>
    <row collapsed="false" customFormat="false" customHeight="true" hidden="false" ht="25.5" outlineLevel="0" r="70">
      <c r="A70" s="18" t="s">
        <v>211</v>
      </c>
      <c r="B70" s="18" t="s">
        <v>212</v>
      </c>
      <c r="C70" s="18"/>
      <c r="D70" s="18" t="s">
        <v>61</v>
      </c>
      <c r="E70" s="18" t="s">
        <v>72</v>
      </c>
      <c r="F70" s="18"/>
      <c r="G70" s="18" t="s">
        <v>14</v>
      </c>
      <c r="H70" s="19" t="n">
        <v>42923.1254635185</v>
      </c>
      <c r="I70" s="20" t="n">
        <v>42923.1254635185</v>
      </c>
      <c r="J70" s="19" t="n">
        <v>42921.476019919</v>
      </c>
      <c r="K70" s="20" t="n">
        <v>42921.476019919</v>
      </c>
      <c r="L70" s="18" t="s">
        <v>15</v>
      </c>
      <c r="M70" s="18"/>
      <c r="N70" s="18"/>
      <c r="O70" s="18"/>
      <c r="P70" s="18" t="s">
        <v>46</v>
      </c>
    </row>
    <row collapsed="false" customFormat="false" customHeight="true" hidden="false" ht="25.5" outlineLevel="0" r="71">
      <c r="A71" s="18" t="s">
        <v>213</v>
      </c>
      <c r="B71" s="18" t="s">
        <v>214</v>
      </c>
      <c r="C71" s="18"/>
      <c r="D71" s="18" t="s">
        <v>164</v>
      </c>
      <c r="E71" s="18" t="s">
        <v>215</v>
      </c>
      <c r="F71" s="18"/>
      <c r="G71" s="18" t="s">
        <v>14</v>
      </c>
      <c r="H71" s="19" t="n">
        <v>42923.3755210301</v>
      </c>
      <c r="I71" s="20" t="n">
        <v>42923.3755210301</v>
      </c>
      <c r="J71" s="19" t="n">
        <v>42921.6231527662</v>
      </c>
      <c r="K71" s="20" t="n">
        <v>42921.6231527662</v>
      </c>
      <c r="L71" s="18" t="s">
        <v>15</v>
      </c>
      <c r="M71" s="18"/>
      <c r="N71" s="18"/>
      <c r="O71" s="18"/>
      <c r="P71" s="18" t="s">
        <v>58</v>
      </c>
    </row>
    <row collapsed="false" customFormat="false" customHeight="true" hidden="false" ht="25.5" outlineLevel="0" r="72">
      <c r="A72" s="18" t="s">
        <v>216</v>
      </c>
      <c r="B72" s="18" t="s">
        <v>217</v>
      </c>
      <c r="C72" s="18"/>
      <c r="D72" s="18" t="s">
        <v>218</v>
      </c>
      <c r="E72" s="18" t="s">
        <v>24</v>
      </c>
      <c r="F72" s="18"/>
      <c r="G72" s="18" t="s">
        <v>85</v>
      </c>
      <c r="H72" s="19" t="n">
        <v>43049.4088353588</v>
      </c>
      <c r="I72" s="20" t="n">
        <v>43049.4088353588</v>
      </c>
      <c r="J72" s="19" t="n">
        <v>42921.710419838</v>
      </c>
      <c r="K72" s="20" t="n">
        <v>42921.710419838</v>
      </c>
      <c r="L72" s="18" t="s">
        <v>15</v>
      </c>
      <c r="M72" s="18"/>
      <c r="N72" s="18"/>
      <c r="O72" s="18"/>
      <c r="P72" s="18" t="s">
        <v>16</v>
      </c>
    </row>
    <row collapsed="false" customFormat="false" customHeight="true" hidden="false" ht="25.5" outlineLevel="0" r="73">
      <c r="A73" s="18" t="s">
        <v>219</v>
      </c>
      <c r="B73" s="18" t="s">
        <v>220</v>
      </c>
      <c r="C73" s="18"/>
      <c r="D73" s="18" t="s">
        <v>174</v>
      </c>
      <c r="E73" s="18" t="s">
        <v>24</v>
      </c>
      <c r="F73" s="18"/>
      <c r="G73" s="18" t="s">
        <v>14</v>
      </c>
      <c r="H73" s="19" t="n">
        <v>42929.4160802546</v>
      </c>
      <c r="I73" s="20" t="n">
        <v>42929.4160802546</v>
      </c>
      <c r="J73" s="19" t="n">
        <v>42923.5454521181</v>
      </c>
      <c r="K73" s="20" t="n">
        <v>42923.5454521181</v>
      </c>
      <c r="L73" s="18" t="s">
        <v>15</v>
      </c>
      <c r="M73" s="18"/>
      <c r="N73" s="18"/>
      <c r="O73" s="18"/>
      <c r="P73" s="18" t="s">
        <v>46</v>
      </c>
    </row>
    <row collapsed="false" customFormat="false" customHeight="true" hidden="false" ht="25.5" outlineLevel="0" r="74">
      <c r="A74" s="18" t="s">
        <v>221</v>
      </c>
      <c r="B74" s="18" t="s">
        <v>222</v>
      </c>
      <c r="C74" s="18"/>
      <c r="D74" s="18" t="s">
        <v>223</v>
      </c>
      <c r="E74" s="18" t="s">
        <v>41</v>
      </c>
      <c r="F74" s="18"/>
      <c r="G74" s="18" t="s">
        <v>14</v>
      </c>
      <c r="H74" s="19" t="n">
        <v>42927.7662939815</v>
      </c>
      <c r="I74" s="20" t="n">
        <v>42927.7662939815</v>
      </c>
      <c r="J74" s="19" t="n">
        <v>42923.7124407986</v>
      </c>
      <c r="K74" s="20" t="n">
        <v>42923.7124407986</v>
      </c>
      <c r="L74" s="18" t="s">
        <v>15</v>
      </c>
      <c r="M74" s="18"/>
      <c r="N74" s="18"/>
      <c r="O74" s="18"/>
      <c r="P74" s="18" t="s">
        <v>46</v>
      </c>
    </row>
    <row collapsed="false" customFormat="false" customHeight="true" hidden="false" ht="25.5" outlineLevel="0" r="75">
      <c r="A75" s="18" t="s">
        <v>224</v>
      </c>
      <c r="B75" s="18" t="s">
        <v>225</v>
      </c>
      <c r="C75" s="18"/>
      <c r="D75" s="18" t="s">
        <v>164</v>
      </c>
      <c r="E75" s="18" t="s">
        <v>215</v>
      </c>
      <c r="F75" s="18"/>
      <c r="G75" s="18" t="s">
        <v>14</v>
      </c>
      <c r="H75" s="19" t="n">
        <v>42930.0843623148</v>
      </c>
      <c r="I75" s="20" t="n">
        <v>42930.0843623148</v>
      </c>
      <c r="J75" s="19" t="n">
        <v>42926.5782820255</v>
      </c>
      <c r="K75" s="20" t="n">
        <v>42926.5782820255</v>
      </c>
      <c r="L75" s="18" t="s">
        <v>15</v>
      </c>
      <c r="M75" s="18"/>
      <c r="N75" s="18"/>
      <c r="O75" s="18"/>
      <c r="P75" s="18" t="s">
        <v>46</v>
      </c>
    </row>
    <row collapsed="false" customFormat="false" customHeight="true" hidden="false" ht="25.5" outlineLevel="0" r="76">
      <c r="A76" s="18" t="s">
        <v>226</v>
      </c>
      <c r="B76" s="18" t="s">
        <v>227</v>
      </c>
      <c r="C76" s="18"/>
      <c r="D76" s="18" t="s">
        <v>228</v>
      </c>
      <c r="E76" s="18" t="s">
        <v>229</v>
      </c>
      <c r="F76" s="18"/>
      <c r="G76" s="18" t="s">
        <v>14</v>
      </c>
      <c r="H76" s="19" t="n">
        <v>42930.4667978472</v>
      </c>
      <c r="I76" s="20" t="n">
        <v>42930.4667978472</v>
      </c>
      <c r="J76" s="19" t="n">
        <v>42926.9458308681</v>
      </c>
      <c r="K76" s="20" t="n">
        <v>42926.9458308681</v>
      </c>
      <c r="L76" s="18" t="s">
        <v>15</v>
      </c>
      <c r="M76" s="18"/>
      <c r="N76" s="18"/>
      <c r="O76" s="18"/>
      <c r="P76" s="18" t="s">
        <v>46</v>
      </c>
    </row>
    <row collapsed="false" customFormat="false" customHeight="true" hidden="false" ht="25.5" outlineLevel="0" r="77">
      <c r="A77" s="18" t="s">
        <v>230</v>
      </c>
      <c r="B77" s="18" t="s">
        <v>231</v>
      </c>
      <c r="C77" s="18"/>
      <c r="D77" s="18" t="s">
        <v>232</v>
      </c>
      <c r="E77" s="18" t="s">
        <v>115</v>
      </c>
      <c r="F77" s="18"/>
      <c r="G77" s="18" t="s">
        <v>14</v>
      </c>
      <c r="H77" s="19" t="n">
        <v>42927.53327625</v>
      </c>
      <c r="I77" s="20" t="n">
        <v>42927.53327625</v>
      </c>
      <c r="J77" s="19" t="n">
        <v>42927.469872963</v>
      </c>
      <c r="K77" s="20" t="n">
        <v>42927.469872963</v>
      </c>
      <c r="L77" s="18" t="s">
        <v>15</v>
      </c>
      <c r="M77" s="18"/>
      <c r="N77" s="18"/>
      <c r="O77" s="18"/>
      <c r="P77" s="18" t="s">
        <v>46</v>
      </c>
    </row>
    <row collapsed="false" customFormat="false" customHeight="true" hidden="false" ht="25.5" outlineLevel="0" r="78">
      <c r="A78" s="18" t="s">
        <v>233</v>
      </c>
      <c r="B78" s="18" t="s">
        <v>234</v>
      </c>
      <c r="C78" s="18"/>
      <c r="D78" s="18" t="s">
        <v>235</v>
      </c>
      <c r="E78" s="18" t="s">
        <v>33</v>
      </c>
      <c r="F78" s="18"/>
      <c r="G78" s="18" t="s">
        <v>14</v>
      </c>
      <c r="H78" s="19" t="n">
        <v>42930.0846141551</v>
      </c>
      <c r="I78" s="20" t="n">
        <v>42930.0846141551</v>
      </c>
      <c r="J78" s="19" t="n">
        <v>42927.6981807292</v>
      </c>
      <c r="K78" s="20" t="n">
        <v>42927.6981807292</v>
      </c>
      <c r="L78" s="18" t="s">
        <v>15</v>
      </c>
      <c r="M78" s="18"/>
      <c r="N78" s="18"/>
      <c r="O78" s="18"/>
      <c r="P78" s="18" t="s">
        <v>46</v>
      </c>
    </row>
    <row collapsed="false" customFormat="false" customHeight="true" hidden="false" ht="25.5" outlineLevel="0" r="79">
      <c r="A79" s="18" t="s">
        <v>236</v>
      </c>
      <c r="B79" s="18" t="s">
        <v>237</v>
      </c>
      <c r="C79" s="18"/>
      <c r="D79" s="18" t="s">
        <v>88</v>
      </c>
      <c r="E79" s="18" t="s">
        <v>81</v>
      </c>
      <c r="F79" s="18"/>
      <c r="G79" s="18" t="s">
        <v>14</v>
      </c>
      <c r="H79" s="19" t="n">
        <v>42936.1256416898</v>
      </c>
      <c r="I79" s="20" t="n">
        <v>42936.1256416898</v>
      </c>
      <c r="J79" s="19" t="n">
        <v>42927.7428479398</v>
      </c>
      <c r="K79" s="20" t="n">
        <v>42927.7428479398</v>
      </c>
      <c r="L79" s="18" t="s">
        <v>15</v>
      </c>
      <c r="M79" s="18"/>
      <c r="N79" s="18"/>
      <c r="O79" s="18"/>
      <c r="P79" s="18" t="s">
        <v>46</v>
      </c>
    </row>
    <row collapsed="false" customFormat="false" customHeight="true" hidden="false" ht="25.5" outlineLevel="0" r="80">
      <c r="A80" s="18" t="s">
        <v>238</v>
      </c>
      <c r="B80" s="18" t="s">
        <v>239</v>
      </c>
      <c r="C80" s="18"/>
      <c r="D80" s="18" t="s">
        <v>240</v>
      </c>
      <c r="E80" s="18" t="s">
        <v>241</v>
      </c>
      <c r="F80" s="18"/>
      <c r="G80" s="18" t="s">
        <v>14</v>
      </c>
      <c r="H80" s="19" t="n">
        <v>42931.0844454977</v>
      </c>
      <c r="I80" s="20" t="n">
        <v>42931.0844454977</v>
      </c>
      <c r="J80" s="19" t="n">
        <v>42928.5507479745</v>
      </c>
      <c r="K80" s="20" t="n">
        <v>42928.5507479745</v>
      </c>
      <c r="L80" s="18" t="s">
        <v>15</v>
      </c>
      <c r="M80" s="18"/>
      <c r="N80" s="18"/>
      <c r="O80" s="18"/>
      <c r="P80" s="18" t="s">
        <v>46</v>
      </c>
    </row>
    <row collapsed="false" customFormat="false" customHeight="true" hidden="false" ht="25.5" outlineLevel="0" r="81">
      <c r="A81" s="18" t="s">
        <v>242</v>
      </c>
      <c r="B81" s="18" t="s">
        <v>190</v>
      </c>
      <c r="C81" s="18"/>
      <c r="D81" s="18" t="s">
        <v>140</v>
      </c>
      <c r="E81" s="18" t="s">
        <v>72</v>
      </c>
      <c r="F81" s="18"/>
      <c r="G81" s="18" t="s">
        <v>14</v>
      </c>
      <c r="H81" s="19" t="n">
        <v>42931.0848729861</v>
      </c>
      <c r="I81" s="20" t="n">
        <v>42931.0848729861</v>
      </c>
      <c r="J81" s="19" t="n">
        <v>42929.5212310533</v>
      </c>
      <c r="K81" s="20" t="n">
        <v>42929.5212310533</v>
      </c>
      <c r="L81" s="18" t="s">
        <v>15</v>
      </c>
      <c r="M81" s="18"/>
      <c r="N81" s="18"/>
      <c r="O81" s="18"/>
      <c r="P81" s="18" t="s">
        <v>16</v>
      </c>
    </row>
    <row collapsed="false" customFormat="false" customHeight="true" hidden="false" ht="25.5" outlineLevel="0" r="82">
      <c r="A82" s="18" t="s">
        <v>243</v>
      </c>
      <c r="B82" s="18" t="s">
        <v>244</v>
      </c>
      <c r="C82" s="18"/>
      <c r="D82" s="18" t="s">
        <v>245</v>
      </c>
      <c r="E82" s="18" t="s">
        <v>20</v>
      </c>
      <c r="F82" s="18"/>
      <c r="G82" s="18" t="s">
        <v>14</v>
      </c>
      <c r="H82" s="19" t="n">
        <v>42935.6102158796</v>
      </c>
      <c r="I82" s="20" t="n">
        <v>42935.6102158796</v>
      </c>
      <c r="J82" s="19" t="n">
        <v>42929.5793664236</v>
      </c>
      <c r="K82" s="20" t="n">
        <v>42929.5793664236</v>
      </c>
      <c r="L82" s="18" t="s">
        <v>15</v>
      </c>
      <c r="M82" s="18"/>
      <c r="N82" s="18"/>
      <c r="O82" s="18"/>
      <c r="P82" s="18" t="s">
        <v>16</v>
      </c>
    </row>
    <row collapsed="false" customFormat="false" customHeight="true" hidden="false" ht="25.5" outlineLevel="0" r="83">
      <c r="A83" s="18" t="s">
        <v>246</v>
      </c>
      <c r="B83" s="18" t="s">
        <v>247</v>
      </c>
      <c r="C83" s="18"/>
      <c r="D83" s="18" t="s">
        <v>29</v>
      </c>
      <c r="E83" s="18" t="s">
        <v>28</v>
      </c>
      <c r="F83" s="18"/>
      <c r="G83" s="18" t="s">
        <v>14</v>
      </c>
      <c r="H83" s="19" t="n">
        <v>42932.9173044907</v>
      </c>
      <c r="I83" s="20" t="n">
        <v>42932.9173044907</v>
      </c>
      <c r="J83" s="19" t="n">
        <v>42929.8446177431</v>
      </c>
      <c r="K83" s="20" t="n">
        <v>42929.8446177431</v>
      </c>
      <c r="L83" s="18" t="s">
        <v>15</v>
      </c>
      <c r="M83" s="18"/>
      <c r="N83" s="18"/>
      <c r="O83" s="18"/>
      <c r="P83" s="18" t="s">
        <v>29</v>
      </c>
    </row>
    <row collapsed="false" customFormat="false" customHeight="true" hidden="false" ht="25.5" outlineLevel="0" r="84">
      <c r="A84" s="18" t="s">
        <v>248</v>
      </c>
      <c r="B84" s="18" t="s">
        <v>249</v>
      </c>
      <c r="C84" s="18"/>
      <c r="D84" s="18" t="s">
        <v>250</v>
      </c>
      <c r="E84" s="18" t="s">
        <v>72</v>
      </c>
      <c r="F84" s="18"/>
      <c r="G84" s="18" t="s">
        <v>14</v>
      </c>
      <c r="H84" s="19" t="n">
        <v>42933.6678690046</v>
      </c>
      <c r="I84" s="20" t="n">
        <v>42933.6678690046</v>
      </c>
      <c r="J84" s="19" t="n">
        <v>42930.470284294</v>
      </c>
      <c r="K84" s="20" t="n">
        <v>42930.470284294</v>
      </c>
      <c r="L84" s="18" t="s">
        <v>15</v>
      </c>
      <c r="M84" s="18"/>
      <c r="N84" s="18"/>
      <c r="O84" s="18"/>
      <c r="P84" s="18" t="s">
        <v>16</v>
      </c>
    </row>
    <row collapsed="false" customFormat="false" customHeight="true" hidden="false" ht="25.5" outlineLevel="0" r="85">
      <c r="A85" s="18" t="s">
        <v>251</v>
      </c>
      <c r="B85" s="18" t="s">
        <v>252</v>
      </c>
      <c r="C85" s="18"/>
      <c r="D85" s="18" t="s">
        <v>253</v>
      </c>
      <c r="E85" s="18" t="s">
        <v>24</v>
      </c>
      <c r="F85" s="18"/>
      <c r="G85" s="18" t="s">
        <v>14</v>
      </c>
      <c r="H85" s="19" t="n">
        <v>42935.2923459143</v>
      </c>
      <c r="I85" s="20" t="n">
        <v>42935.2923459143</v>
      </c>
      <c r="J85" s="19" t="n">
        <v>42933.5445446875</v>
      </c>
      <c r="K85" s="20" t="n">
        <v>42933.5445446875</v>
      </c>
      <c r="L85" s="18" t="s">
        <v>15</v>
      </c>
      <c r="M85" s="18"/>
      <c r="N85" s="18"/>
      <c r="O85" s="18"/>
      <c r="P85" s="18" t="s">
        <v>16</v>
      </c>
    </row>
    <row collapsed="false" customFormat="false" customHeight="true" hidden="false" ht="25.5" outlineLevel="0" r="86">
      <c r="A86" s="18" t="s">
        <v>254</v>
      </c>
      <c r="B86" s="18" t="s">
        <v>255</v>
      </c>
      <c r="C86" s="18"/>
      <c r="D86" s="18" t="s">
        <v>256</v>
      </c>
      <c r="E86" s="18" t="s">
        <v>137</v>
      </c>
      <c r="F86" s="18"/>
      <c r="G86" s="18" t="s">
        <v>14</v>
      </c>
      <c r="H86" s="19" t="n">
        <v>42937.7324127894</v>
      </c>
      <c r="I86" s="20" t="n">
        <v>42937.7324127894</v>
      </c>
      <c r="J86" s="19" t="n">
        <v>42933.7089353241</v>
      </c>
      <c r="K86" s="20" t="n">
        <v>42933.7089353241</v>
      </c>
      <c r="L86" s="18" t="s">
        <v>15</v>
      </c>
      <c r="M86" s="18"/>
      <c r="N86" s="18"/>
      <c r="O86" s="18"/>
      <c r="P86" s="18" t="s">
        <v>29</v>
      </c>
    </row>
    <row collapsed="false" customFormat="false" customHeight="true" hidden="false" ht="25.5" outlineLevel="0" r="87">
      <c r="A87" s="18" t="s">
        <v>257</v>
      </c>
      <c r="B87" s="18" t="s">
        <v>258</v>
      </c>
      <c r="C87" s="18"/>
      <c r="D87" s="18" t="s">
        <v>61</v>
      </c>
      <c r="E87" s="18" t="s">
        <v>175</v>
      </c>
      <c r="F87" s="18"/>
      <c r="G87" s="18" t="s">
        <v>14</v>
      </c>
      <c r="H87" s="19" t="n">
        <v>42949.0842308912</v>
      </c>
      <c r="I87" s="20" t="n">
        <v>42949.0842308912</v>
      </c>
      <c r="J87" s="19" t="n">
        <v>42934.9435381713</v>
      </c>
      <c r="K87" s="20" t="n">
        <v>42934.9435381713</v>
      </c>
      <c r="L87" s="18" t="s">
        <v>15</v>
      </c>
      <c r="M87" s="18"/>
      <c r="N87" s="18"/>
      <c r="O87" s="18"/>
      <c r="P87" s="18" t="s">
        <v>16</v>
      </c>
    </row>
    <row collapsed="false" customFormat="false" customHeight="true" hidden="false" ht="25.5" outlineLevel="0" r="88">
      <c r="A88" s="18" t="s">
        <v>259</v>
      </c>
      <c r="B88" s="18" t="s">
        <v>179</v>
      </c>
      <c r="C88" s="18"/>
      <c r="D88" s="18" t="s">
        <v>260</v>
      </c>
      <c r="E88" s="18" t="s">
        <v>126</v>
      </c>
      <c r="F88" s="18"/>
      <c r="G88" s="18" t="s">
        <v>14</v>
      </c>
      <c r="H88" s="19" t="n">
        <v>42935.6108894907</v>
      </c>
      <c r="I88" s="20" t="n">
        <v>42935.6108894907</v>
      </c>
      <c r="J88" s="19" t="n">
        <v>42935.3743845255</v>
      </c>
      <c r="K88" s="20" t="n">
        <v>42935.3743845255</v>
      </c>
      <c r="L88" s="18" t="s">
        <v>15</v>
      </c>
      <c r="M88" s="18"/>
      <c r="N88" s="18"/>
      <c r="O88" s="18"/>
      <c r="P88" s="18" t="s">
        <v>16</v>
      </c>
    </row>
    <row collapsed="false" customFormat="false" customHeight="true" hidden="false" ht="25.5" outlineLevel="0" r="89">
      <c r="A89" s="18" t="s">
        <v>261</v>
      </c>
      <c r="B89" s="18" t="s">
        <v>124</v>
      </c>
      <c r="C89" s="18"/>
      <c r="D89" s="18" t="s">
        <v>125</v>
      </c>
      <c r="E89" s="18" t="s">
        <v>126</v>
      </c>
      <c r="F89" s="18"/>
      <c r="G89" s="18" t="s">
        <v>14</v>
      </c>
      <c r="H89" s="19" t="n">
        <v>42937.0848876736</v>
      </c>
      <c r="I89" s="20" t="n">
        <v>42937.0848876736</v>
      </c>
      <c r="J89" s="19" t="n">
        <v>42935.4414632407</v>
      </c>
      <c r="K89" s="20" t="n">
        <v>42935.4414632407</v>
      </c>
      <c r="L89" s="18" t="s">
        <v>15</v>
      </c>
      <c r="M89" s="18"/>
      <c r="N89" s="18"/>
      <c r="O89" s="18"/>
      <c r="P89" s="18" t="s">
        <v>16</v>
      </c>
    </row>
    <row collapsed="false" customFormat="false" customHeight="true" hidden="false" ht="25.5" outlineLevel="0" r="90">
      <c r="A90" s="18" t="s">
        <v>262</v>
      </c>
      <c r="B90" s="18" t="s">
        <v>263</v>
      </c>
      <c r="C90" s="18"/>
      <c r="D90" s="18" t="s">
        <v>154</v>
      </c>
      <c r="E90" s="18" t="s">
        <v>28</v>
      </c>
      <c r="F90" s="18"/>
      <c r="G90" s="18" t="s">
        <v>14</v>
      </c>
      <c r="H90" s="19" t="n">
        <v>42942.0843916898</v>
      </c>
      <c r="I90" s="20" t="n">
        <v>42942.0843916898</v>
      </c>
      <c r="J90" s="19" t="n">
        <v>42935.8314512153</v>
      </c>
      <c r="K90" s="20" t="n">
        <v>42935.8314512153</v>
      </c>
      <c r="L90" s="18" t="s">
        <v>15</v>
      </c>
      <c r="M90" s="18"/>
      <c r="N90" s="18"/>
      <c r="O90" s="18"/>
      <c r="P90" s="18" t="s">
        <v>46</v>
      </c>
    </row>
    <row collapsed="false" customFormat="false" customHeight="true" hidden="false" ht="25.5" outlineLevel="0" r="91">
      <c r="A91" s="18" t="s">
        <v>264</v>
      </c>
      <c r="B91" s="18" t="s">
        <v>265</v>
      </c>
      <c r="C91" s="18"/>
      <c r="D91" s="18" t="s">
        <v>61</v>
      </c>
      <c r="E91" s="18" t="s">
        <v>72</v>
      </c>
      <c r="F91" s="18"/>
      <c r="G91" s="18" t="s">
        <v>14</v>
      </c>
      <c r="H91" s="19" t="n">
        <v>42937.5600636343</v>
      </c>
      <c r="I91" s="20" t="n">
        <v>42937.5600636343</v>
      </c>
      <c r="J91" s="19" t="n">
        <v>42936.444134294</v>
      </c>
      <c r="K91" s="20" t="n">
        <v>42936.444134294</v>
      </c>
      <c r="L91" s="18" t="s">
        <v>15</v>
      </c>
      <c r="M91" s="18"/>
      <c r="N91" s="18"/>
      <c r="O91" s="18"/>
      <c r="P91" s="18" t="s">
        <v>16</v>
      </c>
    </row>
    <row collapsed="false" customFormat="false" customHeight="true" hidden="false" ht="25.5" outlineLevel="0" r="92">
      <c r="A92" s="18" t="s">
        <v>266</v>
      </c>
      <c r="B92" s="18" t="s">
        <v>267</v>
      </c>
      <c r="C92" s="18"/>
      <c r="D92" s="18" t="s">
        <v>61</v>
      </c>
      <c r="E92" s="18" t="s">
        <v>72</v>
      </c>
      <c r="F92" s="18"/>
      <c r="G92" s="18" t="s">
        <v>14</v>
      </c>
      <c r="H92" s="19" t="n">
        <v>42940.5006621875</v>
      </c>
      <c r="I92" s="20" t="n">
        <v>42940.5006621875</v>
      </c>
      <c r="J92" s="19" t="n">
        <v>42937.7327000347</v>
      </c>
      <c r="K92" s="20" t="n">
        <v>42937.7327000347</v>
      </c>
      <c r="L92" s="18" t="s">
        <v>15</v>
      </c>
      <c r="M92" s="18"/>
      <c r="N92" s="18"/>
      <c r="O92" s="18"/>
      <c r="P92" s="18" t="s">
        <v>16</v>
      </c>
    </row>
    <row collapsed="false" customFormat="false" customHeight="true" hidden="false" ht="25.5" outlineLevel="0" r="93">
      <c r="A93" s="18" t="s">
        <v>268</v>
      </c>
      <c r="B93" s="18" t="s">
        <v>269</v>
      </c>
      <c r="C93" s="18"/>
      <c r="D93" s="18" t="s">
        <v>228</v>
      </c>
      <c r="E93" s="18" t="s">
        <v>229</v>
      </c>
      <c r="F93" s="18"/>
      <c r="G93" s="18" t="s">
        <v>14</v>
      </c>
      <c r="H93" s="19" t="n">
        <v>42945.0843503125</v>
      </c>
      <c r="I93" s="20" t="n">
        <v>42945.0843503125</v>
      </c>
      <c r="J93" s="19" t="n">
        <v>42937.8699369213</v>
      </c>
      <c r="K93" s="20" t="n">
        <v>42937.8699369213</v>
      </c>
      <c r="L93" s="18" t="s">
        <v>15</v>
      </c>
      <c r="M93" s="18"/>
      <c r="N93" s="18"/>
      <c r="O93" s="18"/>
      <c r="P93" s="18" t="s">
        <v>16</v>
      </c>
    </row>
    <row collapsed="false" customFormat="false" customHeight="true" hidden="false" ht="25.5" outlineLevel="0" r="94">
      <c r="A94" s="18" t="s">
        <v>270</v>
      </c>
      <c r="B94" s="18" t="s">
        <v>271</v>
      </c>
      <c r="C94" s="18"/>
      <c r="D94" s="18" t="s">
        <v>140</v>
      </c>
      <c r="E94" s="18" t="s">
        <v>175</v>
      </c>
      <c r="F94" s="18"/>
      <c r="G94" s="18" t="s">
        <v>14</v>
      </c>
      <c r="H94" s="19" t="n">
        <v>42942.0846992593</v>
      </c>
      <c r="I94" s="20" t="n">
        <v>42942.0846992593</v>
      </c>
      <c r="J94" s="19" t="n">
        <v>42937.9452086343</v>
      </c>
      <c r="K94" s="20" t="n">
        <v>42937.9452086343</v>
      </c>
      <c r="L94" s="18" t="s">
        <v>15</v>
      </c>
      <c r="M94" s="18"/>
      <c r="N94" s="18"/>
      <c r="O94" s="18"/>
      <c r="P94" s="18" t="s">
        <v>16</v>
      </c>
    </row>
    <row collapsed="false" customFormat="false" customHeight="true" hidden="false" ht="25.5" outlineLevel="0" r="95">
      <c r="A95" s="18" t="s">
        <v>272</v>
      </c>
      <c r="B95" s="18" t="s">
        <v>273</v>
      </c>
      <c r="C95" s="18"/>
      <c r="D95" s="18" t="s">
        <v>96</v>
      </c>
      <c r="E95" s="18" t="s">
        <v>96</v>
      </c>
      <c r="F95" s="18"/>
      <c r="G95" s="18" t="s">
        <v>14</v>
      </c>
      <c r="H95" s="19" t="n">
        <v>42944.5409607755</v>
      </c>
      <c r="I95" s="20" t="n">
        <v>42944.5409607755</v>
      </c>
      <c r="J95" s="19" t="n">
        <v>42940.4449396412</v>
      </c>
      <c r="K95" s="20" t="n">
        <v>42940.4449396412</v>
      </c>
      <c r="L95" s="18" t="s">
        <v>15</v>
      </c>
      <c r="M95" s="18"/>
      <c r="N95" s="18"/>
      <c r="O95" s="18"/>
      <c r="P95" s="18" t="s">
        <v>46</v>
      </c>
    </row>
    <row collapsed="false" customFormat="false" customHeight="true" hidden="false" ht="25.5" outlineLevel="0" r="96">
      <c r="A96" s="18" t="s">
        <v>274</v>
      </c>
      <c r="B96" s="18" t="s">
        <v>275</v>
      </c>
      <c r="C96" s="18"/>
      <c r="D96" s="18" t="s">
        <v>276</v>
      </c>
      <c r="E96" s="18" t="s">
        <v>277</v>
      </c>
      <c r="F96" s="18"/>
      <c r="G96" s="18" t="s">
        <v>14</v>
      </c>
      <c r="H96" s="19" t="n">
        <v>42943.5431655903</v>
      </c>
      <c r="I96" s="20" t="n">
        <v>42943.5431655903</v>
      </c>
      <c r="J96" s="19" t="n">
        <v>42940.4733572222</v>
      </c>
      <c r="K96" s="20" t="n">
        <v>42940.4733572222</v>
      </c>
      <c r="L96" s="18" t="s">
        <v>15</v>
      </c>
      <c r="M96" s="18"/>
      <c r="N96" s="18"/>
      <c r="O96" s="18"/>
      <c r="P96" s="18" t="s">
        <v>16</v>
      </c>
    </row>
    <row collapsed="false" customFormat="false" customHeight="true" hidden="false" ht="25.5" outlineLevel="0" r="97">
      <c r="A97" s="18" t="s">
        <v>278</v>
      </c>
      <c r="B97" s="18" t="s">
        <v>279</v>
      </c>
      <c r="C97" s="18"/>
      <c r="D97" s="18" t="s">
        <v>280</v>
      </c>
      <c r="E97" s="18" t="s">
        <v>281</v>
      </c>
      <c r="F97" s="18"/>
      <c r="G97" s="18" t="s">
        <v>14</v>
      </c>
      <c r="H97" s="19" t="n">
        <v>42943.711655544</v>
      </c>
      <c r="I97" s="20" t="n">
        <v>42943.711655544</v>
      </c>
      <c r="J97" s="19" t="n">
        <v>42940.5475249884</v>
      </c>
      <c r="K97" s="20" t="n">
        <v>42940.5475249884</v>
      </c>
      <c r="L97" s="18" t="s">
        <v>15</v>
      </c>
      <c r="M97" s="18"/>
      <c r="N97" s="18"/>
      <c r="O97" s="18"/>
      <c r="P97" s="18" t="s">
        <v>16</v>
      </c>
    </row>
    <row collapsed="false" customFormat="false" customHeight="true" hidden="false" ht="25.5" outlineLevel="0" r="98">
      <c r="A98" s="18" t="s">
        <v>282</v>
      </c>
      <c r="B98" s="18" t="s">
        <v>283</v>
      </c>
      <c r="C98" s="18"/>
      <c r="D98" s="18" t="s">
        <v>284</v>
      </c>
      <c r="E98" s="18" t="s">
        <v>55</v>
      </c>
      <c r="F98" s="18"/>
      <c r="G98" s="18" t="s">
        <v>14</v>
      </c>
      <c r="H98" s="19" t="n">
        <v>42945.3783433102</v>
      </c>
      <c r="I98" s="20" t="n">
        <v>42945.3783433102</v>
      </c>
      <c r="J98" s="19" t="n">
        <v>42941.6469496875</v>
      </c>
      <c r="K98" s="20" t="n">
        <v>42941.6469496875</v>
      </c>
      <c r="L98" s="18" t="s">
        <v>15</v>
      </c>
      <c r="M98" s="18"/>
      <c r="N98" s="18"/>
      <c r="O98" s="18"/>
      <c r="P98" s="18" t="s">
        <v>58</v>
      </c>
    </row>
    <row collapsed="false" customFormat="false" customHeight="true" hidden="false" ht="25.5" outlineLevel="0" r="99">
      <c r="A99" s="18" t="s">
        <v>285</v>
      </c>
      <c r="B99" s="18" t="s">
        <v>286</v>
      </c>
      <c r="C99" s="18"/>
      <c r="D99" s="18" t="s">
        <v>287</v>
      </c>
      <c r="E99" s="18" t="s">
        <v>72</v>
      </c>
      <c r="F99" s="18"/>
      <c r="G99" s="18" t="s">
        <v>14</v>
      </c>
      <c r="H99" s="19" t="n">
        <v>42942.3840230787</v>
      </c>
      <c r="I99" s="20" t="n">
        <v>42942.3840230787</v>
      </c>
      <c r="J99" s="19" t="n">
        <v>42941.6722782523</v>
      </c>
      <c r="K99" s="20" t="n">
        <v>42941.6722782523</v>
      </c>
      <c r="L99" s="18" t="s">
        <v>15</v>
      </c>
      <c r="M99" s="18"/>
      <c r="N99" s="18"/>
      <c r="O99" s="18"/>
      <c r="P99" s="18" t="s">
        <v>46</v>
      </c>
    </row>
    <row collapsed="false" customFormat="false" customHeight="true" hidden="false" ht="25.5" outlineLevel="0" r="100">
      <c r="A100" s="18" t="s">
        <v>288</v>
      </c>
      <c r="B100" s="18" t="s">
        <v>289</v>
      </c>
      <c r="C100" s="18"/>
      <c r="D100" s="18" t="s">
        <v>290</v>
      </c>
      <c r="E100" s="18" t="s">
        <v>208</v>
      </c>
      <c r="F100" s="18"/>
      <c r="G100" s="18" t="s">
        <v>14</v>
      </c>
      <c r="H100" s="19" t="n">
        <v>42943.4827519676</v>
      </c>
      <c r="I100" s="20" t="n">
        <v>42943.4827519676</v>
      </c>
      <c r="J100" s="19" t="n">
        <v>42941.6801021759</v>
      </c>
      <c r="K100" s="20" t="n">
        <v>42941.6801021759</v>
      </c>
      <c r="L100" s="18" t="s">
        <v>15</v>
      </c>
      <c r="M100" s="18"/>
      <c r="N100" s="18"/>
      <c r="O100" s="18"/>
      <c r="P100" s="18" t="s">
        <v>29</v>
      </c>
    </row>
    <row collapsed="false" customFormat="false" customHeight="true" hidden="false" ht="25.5" outlineLevel="0" r="101">
      <c r="A101" s="18" t="s">
        <v>291</v>
      </c>
      <c r="B101" s="18" t="s">
        <v>292</v>
      </c>
      <c r="C101" s="18"/>
      <c r="D101" s="18" t="s">
        <v>125</v>
      </c>
      <c r="E101" s="18" t="s">
        <v>126</v>
      </c>
      <c r="F101" s="18"/>
      <c r="G101" s="18" t="s">
        <v>14</v>
      </c>
      <c r="H101" s="19" t="n">
        <v>42942.7419530208</v>
      </c>
      <c r="I101" s="20" t="n">
        <v>42942.7419530208</v>
      </c>
      <c r="J101" s="19" t="n">
        <v>42942.5143818056</v>
      </c>
      <c r="K101" s="20" t="n">
        <v>42942.5143818056</v>
      </c>
      <c r="L101" s="18" t="s">
        <v>15</v>
      </c>
      <c r="M101" s="18"/>
      <c r="N101" s="18"/>
      <c r="O101" s="18"/>
      <c r="P101" s="18" t="s">
        <v>29</v>
      </c>
    </row>
    <row collapsed="false" customFormat="false" customHeight="true" hidden="false" ht="25.5" outlineLevel="0" r="102">
      <c r="A102" s="18" t="s">
        <v>293</v>
      </c>
      <c r="B102" s="18" t="s">
        <v>294</v>
      </c>
      <c r="C102" s="18"/>
      <c r="D102" s="18" t="s">
        <v>96</v>
      </c>
      <c r="E102" s="18" t="s">
        <v>96</v>
      </c>
      <c r="F102" s="18"/>
      <c r="G102" s="18" t="s">
        <v>14</v>
      </c>
      <c r="H102" s="19" t="n">
        <v>42944.5428817824</v>
      </c>
      <c r="I102" s="20" t="n">
        <v>42944.5428817824</v>
      </c>
      <c r="J102" s="19" t="n">
        <v>42942.6220223727</v>
      </c>
      <c r="K102" s="20" t="n">
        <v>42942.6220223727</v>
      </c>
      <c r="L102" s="18" t="s">
        <v>15</v>
      </c>
      <c r="M102" s="18"/>
      <c r="N102" s="18"/>
      <c r="O102" s="18"/>
      <c r="P102" s="18" t="s">
        <v>46</v>
      </c>
    </row>
    <row collapsed="false" customFormat="false" customHeight="true" hidden="false" ht="25.5" outlineLevel="0" r="103">
      <c r="A103" s="18" t="s">
        <v>295</v>
      </c>
      <c r="B103" s="18" t="s">
        <v>296</v>
      </c>
      <c r="C103" s="18"/>
      <c r="D103" s="18" t="s">
        <v>140</v>
      </c>
      <c r="E103" s="18" t="s">
        <v>81</v>
      </c>
      <c r="F103" s="18"/>
      <c r="G103" s="18" t="s">
        <v>14</v>
      </c>
      <c r="H103" s="19" t="n">
        <v>42943.4487511111</v>
      </c>
      <c r="I103" s="20" t="n">
        <v>42943.4487511111</v>
      </c>
      <c r="J103" s="19" t="n">
        <v>42942.7378733681</v>
      </c>
      <c r="K103" s="20" t="n">
        <v>42942.7378733681</v>
      </c>
      <c r="L103" s="18" t="s">
        <v>15</v>
      </c>
      <c r="M103" s="18"/>
      <c r="N103" s="18"/>
      <c r="O103" s="18"/>
      <c r="P103" s="18" t="s">
        <v>16</v>
      </c>
    </row>
    <row collapsed="false" customFormat="false" customHeight="true" hidden="false" ht="25.5" outlineLevel="0" r="104">
      <c r="A104" s="18" t="s">
        <v>297</v>
      </c>
      <c r="B104" s="18" t="s">
        <v>298</v>
      </c>
      <c r="C104" s="18"/>
      <c r="D104" s="18" t="s">
        <v>61</v>
      </c>
      <c r="E104" s="18" t="s">
        <v>72</v>
      </c>
      <c r="F104" s="18"/>
      <c r="G104" s="18" t="s">
        <v>14</v>
      </c>
      <c r="H104" s="19" t="n">
        <v>42944.4584441088</v>
      </c>
      <c r="I104" s="20" t="n">
        <v>42944.4584441088</v>
      </c>
      <c r="J104" s="19" t="n">
        <v>42943.6523933449</v>
      </c>
      <c r="K104" s="20" t="n">
        <v>42943.6523933449</v>
      </c>
      <c r="L104" s="18" t="s">
        <v>15</v>
      </c>
      <c r="M104" s="18"/>
      <c r="N104" s="18"/>
      <c r="O104" s="18"/>
      <c r="P104" s="18" t="s">
        <v>29</v>
      </c>
    </row>
    <row collapsed="false" customFormat="false" customHeight="true" hidden="false" ht="25.5" outlineLevel="0" r="105">
      <c r="A105" s="18" t="s">
        <v>299</v>
      </c>
      <c r="B105" s="18" t="s">
        <v>300</v>
      </c>
      <c r="C105" s="18"/>
      <c r="D105" s="18" t="s">
        <v>125</v>
      </c>
      <c r="E105" s="18" t="s">
        <v>126</v>
      </c>
      <c r="F105" s="18"/>
      <c r="G105" s="18" t="s">
        <v>14</v>
      </c>
      <c r="H105" s="19" t="n">
        <v>42947.0423500347</v>
      </c>
      <c r="I105" s="20" t="n">
        <v>42947.0423500347</v>
      </c>
      <c r="J105" s="19" t="n">
        <v>42944.4825366898</v>
      </c>
      <c r="K105" s="20" t="n">
        <v>42944.4825366898</v>
      </c>
      <c r="L105" s="18" t="s">
        <v>15</v>
      </c>
      <c r="M105" s="18"/>
      <c r="N105" s="18"/>
      <c r="O105" s="18"/>
      <c r="P105" s="18" t="s">
        <v>46</v>
      </c>
    </row>
    <row collapsed="false" customFormat="false" customHeight="true" hidden="false" ht="25.5" outlineLevel="0" r="106">
      <c r="A106" s="18" t="s">
        <v>301</v>
      </c>
      <c r="B106" s="18" t="s">
        <v>302</v>
      </c>
      <c r="C106" s="18"/>
      <c r="D106" s="18" t="s">
        <v>61</v>
      </c>
      <c r="E106" s="18" t="s">
        <v>175</v>
      </c>
      <c r="F106" s="18"/>
      <c r="G106" s="18" t="s">
        <v>14</v>
      </c>
      <c r="H106" s="19" t="n">
        <v>42947.487320625</v>
      </c>
      <c r="I106" s="20" t="n">
        <v>42947.487320625</v>
      </c>
      <c r="J106" s="19" t="n">
        <v>42944.7694461574</v>
      </c>
      <c r="K106" s="20" t="n">
        <v>42944.7694461574</v>
      </c>
      <c r="L106" s="18" t="s">
        <v>15</v>
      </c>
      <c r="M106" s="18"/>
      <c r="N106" s="18"/>
      <c r="O106" s="18"/>
      <c r="P106" s="18" t="s">
        <v>46</v>
      </c>
    </row>
    <row collapsed="false" customFormat="false" customHeight="true" hidden="false" ht="25.5" outlineLevel="0" r="107">
      <c r="A107" s="18" t="s">
        <v>303</v>
      </c>
      <c r="B107" s="18" t="s">
        <v>304</v>
      </c>
      <c r="C107" s="18"/>
      <c r="D107" s="18" t="s">
        <v>305</v>
      </c>
      <c r="E107" s="18" t="s">
        <v>72</v>
      </c>
      <c r="F107" s="18"/>
      <c r="G107" s="18" t="s">
        <v>14</v>
      </c>
      <c r="H107" s="19" t="n">
        <v>42949.3922281713</v>
      </c>
      <c r="I107" s="20" t="n">
        <v>42949.3922281713</v>
      </c>
      <c r="J107" s="19" t="n">
        <v>42947.4907656944</v>
      </c>
      <c r="K107" s="20" t="n">
        <v>42947.4907656944</v>
      </c>
      <c r="L107" s="18" t="s">
        <v>15</v>
      </c>
      <c r="M107" s="18"/>
      <c r="N107" s="18"/>
      <c r="O107" s="18"/>
      <c r="P107" s="18" t="s">
        <v>46</v>
      </c>
    </row>
    <row collapsed="false" customFormat="false" customHeight="true" hidden="false" ht="25.5" outlineLevel="0" r="108">
      <c r="A108" s="18" t="s">
        <v>306</v>
      </c>
      <c r="B108" s="18" t="s">
        <v>307</v>
      </c>
      <c r="C108" s="18"/>
      <c r="D108" s="18" t="s">
        <v>308</v>
      </c>
      <c r="E108" s="18" t="s">
        <v>229</v>
      </c>
      <c r="F108" s="18"/>
      <c r="G108" s="18" t="s">
        <v>14</v>
      </c>
      <c r="H108" s="19" t="n">
        <v>42953.3922820602</v>
      </c>
      <c r="I108" s="20" t="n">
        <v>42953.3922820602</v>
      </c>
      <c r="J108" s="19" t="n">
        <v>42949.9444884144</v>
      </c>
      <c r="K108" s="20" t="n">
        <v>42949.9444884144</v>
      </c>
      <c r="L108" s="18" t="s">
        <v>15</v>
      </c>
      <c r="M108" s="18"/>
      <c r="N108" s="18"/>
      <c r="O108" s="18"/>
      <c r="P108" s="18" t="s">
        <v>16</v>
      </c>
    </row>
    <row collapsed="false" customFormat="false" customHeight="true" hidden="false" ht="25.5" outlineLevel="0" r="109">
      <c r="A109" s="18" t="s">
        <v>309</v>
      </c>
      <c r="B109" s="18" t="s">
        <v>310</v>
      </c>
      <c r="C109" s="18"/>
      <c r="D109" s="18" t="s">
        <v>54</v>
      </c>
      <c r="E109" s="18" t="s">
        <v>55</v>
      </c>
      <c r="F109" s="18"/>
      <c r="G109" s="18" t="s">
        <v>14</v>
      </c>
      <c r="H109" s="19" t="n">
        <v>42952.167395162</v>
      </c>
      <c r="I109" s="20" t="n">
        <v>42952.167395162</v>
      </c>
      <c r="J109" s="19" t="n">
        <v>42950.5152983333</v>
      </c>
      <c r="K109" s="20" t="n">
        <v>42950.5152983333</v>
      </c>
      <c r="L109" s="18" t="s">
        <v>15</v>
      </c>
      <c r="M109" s="18"/>
      <c r="N109" s="18"/>
      <c r="O109" s="18"/>
      <c r="P109" s="18" t="s">
        <v>16</v>
      </c>
    </row>
    <row collapsed="false" customFormat="false" customHeight="true" hidden="false" ht="25.5" outlineLevel="0" r="110">
      <c r="A110" s="18" t="s">
        <v>311</v>
      </c>
      <c r="B110" s="18" t="s">
        <v>312</v>
      </c>
      <c r="C110" s="18"/>
      <c r="D110" s="18" t="s">
        <v>54</v>
      </c>
      <c r="E110" s="18" t="s">
        <v>55</v>
      </c>
      <c r="F110" s="18"/>
      <c r="G110" s="18" t="s">
        <v>14</v>
      </c>
      <c r="H110" s="19" t="n">
        <v>42953.7507221991</v>
      </c>
      <c r="I110" s="20" t="n">
        <v>42953.7507221991</v>
      </c>
      <c r="J110" s="19" t="n">
        <v>42950.5278230324</v>
      </c>
      <c r="K110" s="20" t="n">
        <v>42950.5278230324</v>
      </c>
      <c r="L110" s="18" t="s">
        <v>15</v>
      </c>
      <c r="M110" s="18"/>
      <c r="N110" s="18"/>
      <c r="O110" s="18"/>
      <c r="P110" s="18" t="s">
        <v>58</v>
      </c>
    </row>
    <row collapsed="false" customFormat="false" customHeight="true" hidden="false" ht="25.5" outlineLevel="0" r="111">
      <c r="A111" s="18" t="s">
        <v>313</v>
      </c>
      <c r="B111" s="18" t="s">
        <v>314</v>
      </c>
      <c r="C111" s="18"/>
      <c r="D111" s="18" t="s">
        <v>315</v>
      </c>
      <c r="E111" s="18" t="s">
        <v>24</v>
      </c>
      <c r="F111" s="18"/>
      <c r="G111" s="18" t="s">
        <v>14</v>
      </c>
      <c r="H111" s="19" t="n">
        <v>42953.6492269444</v>
      </c>
      <c r="I111" s="20" t="n">
        <v>42953.6492269444</v>
      </c>
      <c r="J111" s="19" t="n">
        <v>42950.6160591204</v>
      </c>
      <c r="K111" s="20" t="n">
        <v>42950.6160591204</v>
      </c>
      <c r="L111" s="18" t="s">
        <v>15</v>
      </c>
      <c r="M111" s="18"/>
      <c r="N111" s="18"/>
      <c r="O111" s="18"/>
      <c r="P111" s="18" t="s">
        <v>29</v>
      </c>
    </row>
    <row collapsed="false" customFormat="false" customHeight="true" hidden="false" ht="25.5" outlineLevel="0" r="112">
      <c r="A112" s="18" t="s">
        <v>316</v>
      </c>
      <c r="B112" s="18" t="s">
        <v>317</v>
      </c>
      <c r="C112" s="18"/>
      <c r="D112" s="18" t="s">
        <v>29</v>
      </c>
      <c r="E112" s="18" t="s">
        <v>72</v>
      </c>
      <c r="F112" s="18"/>
      <c r="G112" s="18" t="s">
        <v>14</v>
      </c>
      <c r="H112" s="19" t="n">
        <v>42950.7243851273</v>
      </c>
      <c r="I112" s="20" t="n">
        <v>42950.7243851273</v>
      </c>
      <c r="J112" s="19" t="n">
        <v>42950.7158599653</v>
      </c>
      <c r="K112" s="20" t="n">
        <v>42950.7158599653</v>
      </c>
      <c r="L112" s="18" t="s">
        <v>15</v>
      </c>
      <c r="M112" s="18"/>
      <c r="N112" s="18"/>
      <c r="O112" s="18"/>
      <c r="P112" s="18" t="s">
        <v>29</v>
      </c>
    </row>
    <row collapsed="false" customFormat="false" customHeight="true" hidden="false" ht="25.5" outlineLevel="0" r="113">
      <c r="A113" s="18" t="s">
        <v>318</v>
      </c>
      <c r="B113" s="18" t="s">
        <v>319</v>
      </c>
      <c r="C113" s="18"/>
      <c r="D113" s="18" t="s">
        <v>61</v>
      </c>
      <c r="E113" s="18" t="s">
        <v>72</v>
      </c>
      <c r="F113" s="18"/>
      <c r="G113" s="18" t="s">
        <v>14</v>
      </c>
      <c r="H113" s="19" t="n">
        <v>42953.7507352778</v>
      </c>
      <c r="I113" s="20" t="n">
        <v>42953.7507352778</v>
      </c>
      <c r="J113" s="19" t="n">
        <v>42951.4042214699</v>
      </c>
      <c r="K113" s="20" t="n">
        <v>42951.4042214699</v>
      </c>
      <c r="L113" s="18" t="s">
        <v>15</v>
      </c>
      <c r="M113" s="18"/>
      <c r="N113" s="18"/>
      <c r="O113" s="18"/>
      <c r="P113" s="18" t="s">
        <v>29</v>
      </c>
    </row>
    <row collapsed="false" customFormat="false" customHeight="true" hidden="false" ht="25.5" outlineLevel="0" r="114">
      <c r="A114" s="18" t="s">
        <v>320</v>
      </c>
      <c r="B114" s="18" t="s">
        <v>321</v>
      </c>
      <c r="C114" s="18"/>
      <c r="D114" s="18" t="s">
        <v>61</v>
      </c>
      <c r="E114" s="18" t="s">
        <v>72</v>
      </c>
      <c r="F114" s="18"/>
      <c r="G114" s="18" t="s">
        <v>14</v>
      </c>
      <c r="H114" s="19" t="n">
        <v>42953.8340631482</v>
      </c>
      <c r="I114" s="20" t="n">
        <v>42953.8340631482</v>
      </c>
      <c r="J114" s="19" t="n">
        <v>42951.4113970949</v>
      </c>
      <c r="K114" s="20" t="n">
        <v>42951.4113970949</v>
      </c>
      <c r="L114" s="18" t="s">
        <v>15</v>
      </c>
      <c r="M114" s="18"/>
      <c r="N114" s="18"/>
      <c r="O114" s="18"/>
      <c r="P114" s="18" t="s">
        <v>29</v>
      </c>
    </row>
    <row collapsed="false" customFormat="false" customHeight="true" hidden="false" ht="25.5" outlineLevel="0" r="115">
      <c r="A115" s="18" t="s">
        <v>322</v>
      </c>
      <c r="B115" s="18" t="s">
        <v>323</v>
      </c>
      <c r="C115" s="18"/>
      <c r="D115" s="18" t="s">
        <v>61</v>
      </c>
      <c r="E115" s="18" t="s">
        <v>72</v>
      </c>
      <c r="F115" s="18"/>
      <c r="G115" s="18" t="s">
        <v>14</v>
      </c>
      <c r="H115" s="19" t="n">
        <v>42956.083706875</v>
      </c>
      <c r="I115" s="20" t="n">
        <v>42956.083706875</v>
      </c>
      <c r="J115" s="19" t="n">
        <v>42951.7469994213</v>
      </c>
      <c r="K115" s="20" t="n">
        <v>42951.7469994213</v>
      </c>
      <c r="L115" s="18" t="s">
        <v>15</v>
      </c>
      <c r="M115" s="18"/>
      <c r="N115" s="18"/>
      <c r="O115" s="18"/>
      <c r="P115" s="18" t="s">
        <v>16</v>
      </c>
    </row>
    <row collapsed="false" customFormat="false" customHeight="true" hidden="false" ht="25.5" outlineLevel="0" r="116">
      <c r="A116" s="18" t="s">
        <v>324</v>
      </c>
      <c r="B116" s="18" t="s">
        <v>325</v>
      </c>
      <c r="C116" s="18"/>
      <c r="D116" s="18" t="s">
        <v>125</v>
      </c>
      <c r="E116" s="18" t="s">
        <v>126</v>
      </c>
      <c r="F116" s="18"/>
      <c r="G116" s="18" t="s">
        <v>14</v>
      </c>
      <c r="H116" s="19" t="n">
        <v>42955.7042494908</v>
      </c>
      <c r="I116" s="20" t="n">
        <v>42955.7042494908</v>
      </c>
      <c r="J116" s="19" t="n">
        <v>42954.4691331597</v>
      </c>
      <c r="K116" s="20" t="n">
        <v>42954.4691331597</v>
      </c>
      <c r="L116" s="18" t="s">
        <v>15</v>
      </c>
      <c r="M116" s="18"/>
      <c r="N116" s="18"/>
      <c r="O116" s="18"/>
      <c r="P116" s="18" t="s">
        <v>46</v>
      </c>
    </row>
    <row collapsed="false" customFormat="false" customHeight="true" hidden="false" ht="25.5" outlineLevel="0" r="117">
      <c r="A117" s="18" t="s">
        <v>326</v>
      </c>
      <c r="B117" s="18" t="s">
        <v>327</v>
      </c>
      <c r="C117" s="18"/>
      <c r="D117" s="18" t="s">
        <v>61</v>
      </c>
      <c r="E117" s="18" t="s">
        <v>81</v>
      </c>
      <c r="F117" s="18"/>
      <c r="G117" s="18" t="s">
        <v>14</v>
      </c>
      <c r="H117" s="19" t="n">
        <v>42955.6205489005</v>
      </c>
      <c r="I117" s="20" t="n">
        <v>42955.6205489005</v>
      </c>
      <c r="J117" s="19" t="n">
        <v>42955.4212508681</v>
      </c>
      <c r="K117" s="20" t="n">
        <v>42955.4212508681</v>
      </c>
      <c r="L117" s="18" t="s">
        <v>15</v>
      </c>
      <c r="M117" s="18"/>
      <c r="N117" s="18"/>
      <c r="O117" s="18"/>
      <c r="P117" s="18" t="s">
        <v>29</v>
      </c>
    </row>
    <row collapsed="false" customFormat="false" customHeight="true" hidden="false" ht="25.5" outlineLevel="0" r="118">
      <c r="A118" s="18" t="s">
        <v>328</v>
      </c>
      <c r="B118" s="18" t="s">
        <v>329</v>
      </c>
      <c r="C118" s="18"/>
      <c r="D118" s="18" t="s">
        <v>61</v>
      </c>
      <c r="E118" s="18" t="s">
        <v>81</v>
      </c>
      <c r="F118" s="18"/>
      <c r="G118" s="18" t="s">
        <v>14</v>
      </c>
      <c r="H118" s="19" t="n">
        <v>42955.6851654977</v>
      </c>
      <c r="I118" s="20" t="n">
        <v>42955.6851654977</v>
      </c>
      <c r="J118" s="19" t="n">
        <v>42955.4288664583</v>
      </c>
      <c r="K118" s="20" t="n">
        <v>42955.4288664583</v>
      </c>
      <c r="L118" s="18" t="s">
        <v>15</v>
      </c>
      <c r="M118" s="18"/>
      <c r="N118" s="18"/>
      <c r="O118" s="18"/>
      <c r="P118" s="18" t="s">
        <v>29</v>
      </c>
    </row>
    <row collapsed="false" customFormat="false" customHeight="true" hidden="false" ht="25.5" outlineLevel="0" r="119">
      <c r="A119" s="18" t="s">
        <v>330</v>
      </c>
      <c r="B119" s="18" t="s">
        <v>331</v>
      </c>
      <c r="C119" s="18"/>
      <c r="D119" s="18" t="s">
        <v>61</v>
      </c>
      <c r="E119" s="18" t="s">
        <v>81</v>
      </c>
      <c r="F119" s="18"/>
      <c r="G119" s="18" t="s">
        <v>14</v>
      </c>
      <c r="H119" s="19" t="n">
        <v>42958.5255933333</v>
      </c>
      <c r="I119" s="20" t="n">
        <v>42958.5255933333</v>
      </c>
      <c r="J119" s="19" t="n">
        <v>42955.5297250116</v>
      </c>
      <c r="K119" s="20" t="n">
        <v>42955.5297250116</v>
      </c>
      <c r="L119" s="18" t="s">
        <v>15</v>
      </c>
      <c r="M119" s="18"/>
      <c r="N119" s="18"/>
      <c r="O119" s="18"/>
      <c r="P119" s="18" t="s">
        <v>29</v>
      </c>
    </row>
    <row collapsed="false" customFormat="false" customHeight="true" hidden="false" ht="25.5" outlineLevel="0" r="120">
      <c r="A120" s="18" t="s">
        <v>332</v>
      </c>
      <c r="B120" s="18" t="s">
        <v>300</v>
      </c>
      <c r="C120" s="18"/>
      <c r="D120" s="18" t="s">
        <v>125</v>
      </c>
      <c r="E120" s="18" t="s">
        <v>126</v>
      </c>
      <c r="F120" s="18"/>
      <c r="G120" s="18" t="s">
        <v>14</v>
      </c>
      <c r="H120" s="19" t="n">
        <v>42959.0840233681</v>
      </c>
      <c r="I120" s="20" t="n">
        <v>42959.0840233681</v>
      </c>
      <c r="J120" s="19" t="n">
        <v>42956.6007808912</v>
      </c>
      <c r="K120" s="20" t="n">
        <v>42956.6007808912</v>
      </c>
      <c r="L120" s="18" t="s">
        <v>15</v>
      </c>
      <c r="M120" s="18"/>
      <c r="N120" s="18"/>
      <c r="O120" s="18"/>
      <c r="P120" s="18" t="s">
        <v>16</v>
      </c>
    </row>
    <row collapsed="false" customFormat="false" customHeight="true" hidden="false" ht="25.5" outlineLevel="0" r="121">
      <c r="A121" s="18" t="s">
        <v>333</v>
      </c>
      <c r="B121" s="18" t="s">
        <v>334</v>
      </c>
      <c r="C121" s="18"/>
      <c r="D121" s="18" t="s">
        <v>164</v>
      </c>
      <c r="E121" s="18" t="s">
        <v>215</v>
      </c>
      <c r="F121" s="18"/>
      <c r="G121" s="18" t="s">
        <v>14</v>
      </c>
      <c r="H121" s="19" t="n">
        <v>42959.0840556134</v>
      </c>
      <c r="I121" s="20" t="n">
        <v>42959.0840556134</v>
      </c>
      <c r="J121" s="19" t="n">
        <v>42956.6427156829</v>
      </c>
      <c r="K121" s="20" t="n">
        <v>42956.6427156829</v>
      </c>
      <c r="L121" s="18" t="s">
        <v>15</v>
      </c>
      <c r="M121" s="18"/>
      <c r="N121" s="18"/>
      <c r="O121" s="18"/>
      <c r="P121" s="18" t="s">
        <v>16</v>
      </c>
    </row>
    <row collapsed="false" customFormat="false" customHeight="true" hidden="false" ht="25.5" outlineLevel="0" r="122">
      <c r="A122" s="18" t="s">
        <v>335</v>
      </c>
      <c r="B122" s="18" t="s">
        <v>336</v>
      </c>
      <c r="C122" s="18"/>
      <c r="D122" s="18" t="s">
        <v>61</v>
      </c>
      <c r="E122" s="18" t="s">
        <v>175</v>
      </c>
      <c r="F122" s="18"/>
      <c r="G122" s="18" t="s">
        <v>14</v>
      </c>
      <c r="H122" s="19" t="n">
        <v>42959.0841495486</v>
      </c>
      <c r="I122" s="20" t="n">
        <v>42959.0841495486</v>
      </c>
      <c r="J122" s="19" t="n">
        <v>42956.8485722107</v>
      </c>
      <c r="K122" s="20" t="n">
        <v>42956.8485722107</v>
      </c>
      <c r="L122" s="18" t="s">
        <v>15</v>
      </c>
      <c r="M122" s="18"/>
      <c r="N122" s="18"/>
      <c r="O122" s="18"/>
      <c r="P122" s="18" t="s">
        <v>16</v>
      </c>
    </row>
    <row collapsed="false" customFormat="false" customHeight="true" hidden="false" ht="25.5" outlineLevel="0" r="123">
      <c r="A123" s="18" t="s">
        <v>337</v>
      </c>
      <c r="B123" s="18" t="s">
        <v>338</v>
      </c>
      <c r="C123" s="18"/>
      <c r="D123" s="18" t="s">
        <v>339</v>
      </c>
      <c r="E123" s="18" t="s">
        <v>339</v>
      </c>
      <c r="F123" s="18"/>
      <c r="G123" s="18" t="s">
        <v>14</v>
      </c>
      <c r="H123" s="19" t="n">
        <v>42961.4583555093</v>
      </c>
      <c r="I123" s="20" t="n">
        <v>42961.4583555093</v>
      </c>
      <c r="J123" s="19" t="n">
        <v>42957.5220700694</v>
      </c>
      <c r="K123" s="20" t="n">
        <v>42957.5220700694</v>
      </c>
      <c r="L123" s="18" t="s">
        <v>15</v>
      </c>
      <c r="M123" s="18"/>
      <c r="N123" s="18"/>
      <c r="O123" s="18"/>
      <c r="P123" s="18" t="s">
        <v>46</v>
      </c>
    </row>
    <row collapsed="false" customFormat="false" customHeight="true" hidden="false" ht="25.5" outlineLevel="0" r="124">
      <c r="A124" s="18" t="s">
        <v>340</v>
      </c>
      <c r="B124" s="18" t="s">
        <v>336</v>
      </c>
      <c r="C124" s="18"/>
      <c r="D124" s="18" t="s">
        <v>61</v>
      </c>
      <c r="E124" s="18" t="s">
        <v>72</v>
      </c>
      <c r="F124" s="18"/>
      <c r="G124" s="18" t="s">
        <v>14</v>
      </c>
      <c r="H124" s="19" t="n">
        <v>42957.7519491204</v>
      </c>
      <c r="I124" s="20" t="n">
        <v>42957.7519491204</v>
      </c>
      <c r="J124" s="19" t="n">
        <v>42957.6731636111</v>
      </c>
      <c r="K124" s="20" t="n">
        <v>42957.6731636111</v>
      </c>
      <c r="L124" s="18" t="s">
        <v>15</v>
      </c>
      <c r="M124" s="18"/>
      <c r="N124" s="18"/>
      <c r="O124" s="18"/>
      <c r="P124" s="18" t="s">
        <v>46</v>
      </c>
    </row>
    <row collapsed="false" customFormat="false" customHeight="true" hidden="false" ht="25.5" outlineLevel="0" r="125">
      <c r="A125" s="18" t="s">
        <v>341</v>
      </c>
      <c r="B125" s="18" t="s">
        <v>342</v>
      </c>
      <c r="C125" s="18"/>
      <c r="D125" s="18" t="s">
        <v>343</v>
      </c>
      <c r="E125" s="18" t="s">
        <v>115</v>
      </c>
      <c r="F125" s="18"/>
      <c r="G125" s="18" t="s">
        <v>14</v>
      </c>
      <c r="H125" s="19" t="n">
        <v>42960.783712662</v>
      </c>
      <c r="I125" s="20" t="n">
        <v>42960.783712662</v>
      </c>
      <c r="J125" s="19" t="n">
        <v>42957.7272142824</v>
      </c>
      <c r="K125" s="20" t="n">
        <v>42957.7272142824</v>
      </c>
      <c r="L125" s="18" t="s">
        <v>15</v>
      </c>
      <c r="M125" s="18"/>
      <c r="N125" s="18"/>
      <c r="O125" s="18"/>
      <c r="P125" s="18" t="s">
        <v>29</v>
      </c>
    </row>
    <row collapsed="false" customFormat="false" customHeight="true" hidden="false" ht="25.5" outlineLevel="0" r="126">
      <c r="A126" s="18" t="s">
        <v>344</v>
      </c>
      <c r="B126" s="18" t="s">
        <v>345</v>
      </c>
      <c r="C126" s="18"/>
      <c r="D126" s="18" t="s">
        <v>280</v>
      </c>
      <c r="E126" s="18" t="s">
        <v>175</v>
      </c>
      <c r="F126" s="18"/>
      <c r="G126" s="18" t="s">
        <v>14</v>
      </c>
      <c r="H126" s="19" t="n">
        <v>42958.4824560417</v>
      </c>
      <c r="I126" s="20" t="n">
        <v>42958.4824560417</v>
      </c>
      <c r="J126" s="19" t="n">
        <v>42957.8923795833</v>
      </c>
      <c r="K126" s="20" t="n">
        <v>42957.8923795833</v>
      </c>
      <c r="L126" s="18" t="s">
        <v>15</v>
      </c>
      <c r="M126" s="18"/>
      <c r="N126" s="18"/>
      <c r="O126" s="18"/>
      <c r="P126" s="18" t="s">
        <v>46</v>
      </c>
    </row>
    <row collapsed="false" customFormat="false" customHeight="true" hidden="false" ht="25.5" outlineLevel="0" r="127">
      <c r="A127" s="18" t="s">
        <v>346</v>
      </c>
      <c r="B127" s="18" t="s">
        <v>347</v>
      </c>
      <c r="C127" s="18"/>
      <c r="D127" s="18" t="s">
        <v>348</v>
      </c>
      <c r="E127" s="18" t="s">
        <v>72</v>
      </c>
      <c r="F127" s="18"/>
      <c r="G127" s="18" t="s">
        <v>14</v>
      </c>
      <c r="H127" s="19" t="n">
        <v>42961.425635625</v>
      </c>
      <c r="I127" s="20" t="n">
        <v>42961.425635625</v>
      </c>
      <c r="J127" s="19" t="n">
        <v>42958.3904016088</v>
      </c>
      <c r="K127" s="20" t="n">
        <v>42958.3904016088</v>
      </c>
      <c r="L127" s="18" t="s">
        <v>15</v>
      </c>
      <c r="M127" s="18"/>
      <c r="N127" s="18"/>
      <c r="O127" s="18"/>
      <c r="P127" s="18" t="s">
        <v>29</v>
      </c>
    </row>
    <row collapsed="false" customFormat="false" customHeight="true" hidden="false" ht="25.5" outlineLevel="0" r="128">
      <c r="A128" s="18" t="s">
        <v>349</v>
      </c>
      <c r="B128" s="18" t="s">
        <v>300</v>
      </c>
      <c r="C128" s="18"/>
      <c r="D128" s="18" t="s">
        <v>125</v>
      </c>
      <c r="E128" s="18" t="s">
        <v>126</v>
      </c>
      <c r="F128" s="18"/>
      <c r="G128" s="18" t="s">
        <v>14</v>
      </c>
      <c r="H128" s="19" t="n">
        <v>42961.2454771759</v>
      </c>
      <c r="I128" s="20" t="n">
        <v>42961.2454771759</v>
      </c>
      <c r="J128" s="19" t="n">
        <v>42958.5649487847</v>
      </c>
      <c r="K128" s="20" t="n">
        <v>42958.5649487847</v>
      </c>
      <c r="L128" s="18" t="s">
        <v>15</v>
      </c>
      <c r="M128" s="18"/>
      <c r="N128" s="18"/>
      <c r="O128" s="18"/>
      <c r="P128" s="18" t="s">
        <v>29</v>
      </c>
    </row>
    <row collapsed="false" customFormat="false" customHeight="true" hidden="false" ht="25.5" outlineLevel="0" r="129">
      <c r="A129" s="18" t="s">
        <v>350</v>
      </c>
      <c r="B129" s="18" t="s">
        <v>351</v>
      </c>
      <c r="C129" s="18"/>
      <c r="D129" s="18" t="s">
        <v>61</v>
      </c>
      <c r="E129" s="18" t="s">
        <v>175</v>
      </c>
      <c r="F129" s="18"/>
      <c r="G129" s="18" t="s">
        <v>14</v>
      </c>
      <c r="H129" s="19" t="n">
        <v>42963.0846862153</v>
      </c>
      <c r="I129" s="20" t="n">
        <v>42963.0846862153</v>
      </c>
      <c r="J129" s="19" t="n">
        <v>42958.954398206</v>
      </c>
      <c r="K129" s="20" t="n">
        <v>42958.954398206</v>
      </c>
      <c r="L129" s="18" t="s">
        <v>15</v>
      </c>
      <c r="M129" s="18"/>
      <c r="N129" s="18"/>
      <c r="O129" s="18"/>
      <c r="P129" s="18" t="s">
        <v>16</v>
      </c>
    </row>
    <row collapsed="false" customFormat="false" customHeight="true" hidden="false" ht="25.5" outlineLevel="0" r="130">
      <c r="A130" s="18" t="s">
        <v>352</v>
      </c>
      <c r="B130" s="18" t="s">
        <v>353</v>
      </c>
      <c r="C130" s="18"/>
      <c r="D130" s="18" t="s">
        <v>232</v>
      </c>
      <c r="E130" s="18" t="s">
        <v>208</v>
      </c>
      <c r="F130" s="18"/>
      <c r="G130" s="18" t="s">
        <v>14</v>
      </c>
      <c r="H130" s="19" t="n">
        <v>42963.5162953009</v>
      </c>
      <c r="I130" s="20" t="n">
        <v>42963.5162953009</v>
      </c>
      <c r="J130" s="19" t="n">
        <v>42961.6748962153</v>
      </c>
      <c r="K130" s="20" t="n">
        <v>42961.6748962153</v>
      </c>
      <c r="L130" s="18" t="s">
        <v>15</v>
      </c>
      <c r="M130" s="18"/>
      <c r="N130" s="18"/>
      <c r="O130" s="18"/>
      <c r="P130" s="18" t="s">
        <v>46</v>
      </c>
    </row>
    <row collapsed="false" customFormat="false" customHeight="true" hidden="false" ht="25.5" outlineLevel="0" r="131">
      <c r="A131" s="18" t="s">
        <v>354</v>
      </c>
      <c r="B131" s="18" t="s">
        <v>355</v>
      </c>
      <c r="C131" s="18"/>
      <c r="D131" s="18" t="s">
        <v>232</v>
      </c>
      <c r="E131" s="18" t="s">
        <v>109</v>
      </c>
      <c r="F131" s="18"/>
      <c r="G131" s="18" t="s">
        <v>14</v>
      </c>
      <c r="H131" s="19" t="n">
        <v>42963.5166378819</v>
      </c>
      <c r="I131" s="20" t="n">
        <v>42963.5166378819</v>
      </c>
      <c r="J131" s="19" t="n">
        <v>42961.7470175231</v>
      </c>
      <c r="K131" s="20" t="n">
        <v>42961.7470175231</v>
      </c>
      <c r="L131" s="18" t="s">
        <v>15</v>
      </c>
      <c r="M131" s="18"/>
      <c r="N131" s="18"/>
      <c r="O131" s="18"/>
      <c r="P131" s="18" t="s">
        <v>46</v>
      </c>
    </row>
    <row collapsed="false" customFormat="false" customHeight="true" hidden="false" ht="25.5" outlineLevel="0" r="132">
      <c r="A132" s="18" t="s">
        <v>356</v>
      </c>
      <c r="B132" s="18" t="s">
        <v>357</v>
      </c>
      <c r="C132" s="18"/>
      <c r="D132" s="18" t="s">
        <v>358</v>
      </c>
      <c r="E132" s="18" t="s">
        <v>50</v>
      </c>
      <c r="F132" s="18"/>
      <c r="G132" s="18" t="s">
        <v>14</v>
      </c>
      <c r="H132" s="19" t="n">
        <v>42964.0848512732</v>
      </c>
      <c r="I132" s="20" t="n">
        <v>42964.0848512732</v>
      </c>
      <c r="J132" s="19" t="n">
        <v>42962.1003841204</v>
      </c>
      <c r="K132" s="20" t="n">
        <v>42962.1003841204</v>
      </c>
      <c r="L132" s="18" t="s">
        <v>15</v>
      </c>
      <c r="M132" s="18"/>
      <c r="N132" s="18"/>
      <c r="O132" s="18"/>
      <c r="P132" s="18" t="s">
        <v>58</v>
      </c>
    </row>
    <row collapsed="false" customFormat="false" customHeight="true" hidden="false" ht="25.5" outlineLevel="0" r="133">
      <c r="A133" s="18" t="s">
        <v>359</v>
      </c>
      <c r="B133" s="18" t="s">
        <v>179</v>
      </c>
      <c r="C133" s="18"/>
      <c r="D133" s="18" t="s">
        <v>125</v>
      </c>
      <c r="E133" s="18" t="s">
        <v>126</v>
      </c>
      <c r="F133" s="18"/>
      <c r="G133" s="18" t="s">
        <v>14</v>
      </c>
      <c r="H133" s="19" t="n">
        <v>42962.6279781945</v>
      </c>
      <c r="I133" s="20" t="n">
        <v>42962.6279781945</v>
      </c>
      <c r="J133" s="19" t="n">
        <v>42962.5356196065</v>
      </c>
      <c r="K133" s="20" t="n">
        <v>42962.5356196065</v>
      </c>
      <c r="L133" s="18" t="s">
        <v>15</v>
      </c>
      <c r="M133" s="18"/>
      <c r="N133" s="18"/>
      <c r="O133" s="18"/>
      <c r="P133" s="18" t="s">
        <v>29</v>
      </c>
    </row>
    <row collapsed="false" customFormat="false" customHeight="true" hidden="false" ht="25.5" outlineLevel="0" r="134">
      <c r="A134" s="18" t="s">
        <v>360</v>
      </c>
      <c r="B134" s="18" t="s">
        <v>361</v>
      </c>
      <c r="C134" s="18"/>
      <c r="D134" s="18" t="s">
        <v>61</v>
      </c>
      <c r="E134" s="18" t="s">
        <v>50</v>
      </c>
      <c r="F134" s="18"/>
      <c r="G134" s="18" t="s">
        <v>14</v>
      </c>
      <c r="H134" s="19" t="n">
        <v>42965.0849932755</v>
      </c>
      <c r="I134" s="20" t="n">
        <v>42965.0849932755</v>
      </c>
      <c r="J134" s="19" t="n">
        <v>42963.2011513657</v>
      </c>
      <c r="K134" s="20" t="n">
        <v>42963.2011513657</v>
      </c>
      <c r="L134" s="18" t="s">
        <v>15</v>
      </c>
      <c r="M134" s="18"/>
      <c r="N134" s="18"/>
      <c r="O134" s="18"/>
      <c r="P134" s="18" t="s">
        <v>58</v>
      </c>
    </row>
    <row collapsed="false" customFormat="false" customHeight="true" hidden="false" ht="25.5" outlineLevel="0" r="135">
      <c r="A135" s="18" t="s">
        <v>362</v>
      </c>
      <c r="B135" s="18" t="s">
        <v>363</v>
      </c>
      <c r="C135" s="18"/>
      <c r="D135" s="18" t="s">
        <v>364</v>
      </c>
      <c r="E135" s="18" t="s">
        <v>50</v>
      </c>
      <c r="F135" s="18"/>
      <c r="G135" s="18" t="s">
        <v>14</v>
      </c>
      <c r="H135" s="19" t="n">
        <v>42965.0849948958</v>
      </c>
      <c r="I135" s="20" t="n">
        <v>42965.0849948958</v>
      </c>
      <c r="J135" s="19" t="n">
        <v>42963.2457168634</v>
      </c>
      <c r="K135" s="20" t="n">
        <v>42963.2457168634</v>
      </c>
      <c r="L135" s="18" t="s">
        <v>15</v>
      </c>
      <c r="M135" s="18"/>
      <c r="N135" s="18"/>
      <c r="O135" s="18"/>
      <c r="P135" s="18" t="s">
        <v>58</v>
      </c>
    </row>
    <row collapsed="false" customFormat="false" customHeight="true" hidden="false" ht="25.5" outlineLevel="0" r="136">
      <c r="A136" s="18" t="s">
        <v>365</v>
      </c>
      <c r="B136" s="18" t="s">
        <v>366</v>
      </c>
      <c r="C136" s="18"/>
      <c r="D136" s="18" t="s">
        <v>367</v>
      </c>
      <c r="E136" s="18" t="s">
        <v>72</v>
      </c>
      <c r="F136" s="18"/>
      <c r="G136" s="18" t="s">
        <v>14</v>
      </c>
      <c r="H136" s="19" t="n">
        <v>42965.459111088</v>
      </c>
      <c r="I136" s="20" t="n">
        <v>42965.459111088</v>
      </c>
      <c r="J136" s="19" t="n">
        <v>42963.6503942245</v>
      </c>
      <c r="K136" s="20" t="n">
        <v>42963.6503942245</v>
      </c>
      <c r="L136" s="18" t="s">
        <v>15</v>
      </c>
      <c r="M136" s="18"/>
      <c r="N136" s="18"/>
      <c r="O136" s="18"/>
      <c r="P136" s="18" t="s">
        <v>46</v>
      </c>
    </row>
    <row collapsed="false" customFormat="false" customHeight="true" hidden="false" ht="25.5" outlineLevel="0" r="137">
      <c r="A137" s="18" t="s">
        <v>368</v>
      </c>
      <c r="B137" s="18" t="s">
        <v>369</v>
      </c>
      <c r="C137" s="18"/>
      <c r="D137" s="18" t="s">
        <v>61</v>
      </c>
      <c r="E137" s="18" t="s">
        <v>72</v>
      </c>
      <c r="F137" s="18"/>
      <c r="G137" s="18" t="s">
        <v>14</v>
      </c>
      <c r="H137" s="19" t="n">
        <v>42966.3341065625</v>
      </c>
      <c r="I137" s="20" t="n">
        <v>42966.3341065625</v>
      </c>
      <c r="J137" s="19" t="n">
        <v>42964.5175823843</v>
      </c>
      <c r="K137" s="20" t="n">
        <v>42964.5175823843</v>
      </c>
      <c r="L137" s="18" t="s">
        <v>15</v>
      </c>
      <c r="M137" s="18"/>
      <c r="N137" s="18"/>
      <c r="O137" s="18"/>
      <c r="P137" s="18" t="s">
        <v>16</v>
      </c>
    </row>
    <row collapsed="false" customFormat="false" customHeight="true" hidden="false" ht="25.5" outlineLevel="0" r="138">
      <c r="A138" s="18" t="s">
        <v>370</v>
      </c>
      <c r="B138" s="18" t="s">
        <v>371</v>
      </c>
      <c r="C138" s="18"/>
      <c r="D138" s="18" t="s">
        <v>61</v>
      </c>
      <c r="E138" s="18" t="s">
        <v>175</v>
      </c>
      <c r="F138" s="18"/>
      <c r="G138" s="18" t="s">
        <v>14</v>
      </c>
      <c r="H138" s="19" t="n">
        <v>42969.6710012616</v>
      </c>
      <c r="I138" s="20" t="n">
        <v>42969.6710012616</v>
      </c>
      <c r="J138" s="19" t="n">
        <v>42965.8850031019</v>
      </c>
      <c r="K138" s="20" t="n">
        <v>42965.8850031019</v>
      </c>
      <c r="L138" s="18" t="s">
        <v>15</v>
      </c>
      <c r="M138" s="18"/>
      <c r="N138" s="18"/>
      <c r="O138" s="18"/>
      <c r="P138" s="18" t="s">
        <v>16</v>
      </c>
    </row>
    <row collapsed="false" customFormat="false" customHeight="true" hidden="false" ht="25.5" outlineLevel="0" r="139">
      <c r="A139" s="18" t="s">
        <v>372</v>
      </c>
      <c r="B139" s="18" t="s">
        <v>206</v>
      </c>
      <c r="C139" s="18"/>
      <c r="D139" s="18" t="s">
        <v>348</v>
      </c>
      <c r="E139" s="18" t="s">
        <v>24</v>
      </c>
      <c r="F139" s="18"/>
      <c r="G139" s="18" t="s">
        <v>14</v>
      </c>
      <c r="H139" s="19" t="n">
        <v>42971.08369875</v>
      </c>
      <c r="I139" s="20" t="n">
        <v>42971.08369875</v>
      </c>
      <c r="J139" s="19" t="n">
        <v>42968.5469860069</v>
      </c>
      <c r="K139" s="20" t="n">
        <v>42968.5469860069</v>
      </c>
      <c r="L139" s="18" t="s">
        <v>15</v>
      </c>
      <c r="M139" s="18"/>
      <c r="N139" s="18"/>
      <c r="O139" s="18"/>
      <c r="P139" s="18" t="s">
        <v>46</v>
      </c>
    </row>
    <row collapsed="false" customFormat="false" customHeight="true" hidden="false" ht="25.5" outlineLevel="0" r="140">
      <c r="A140" s="18" t="s">
        <v>373</v>
      </c>
      <c r="B140" s="18" t="s">
        <v>374</v>
      </c>
      <c r="C140" s="18"/>
      <c r="D140" s="18" t="s">
        <v>375</v>
      </c>
      <c r="E140" s="18" t="s">
        <v>24</v>
      </c>
      <c r="F140" s="18"/>
      <c r="G140" s="18" t="s">
        <v>14</v>
      </c>
      <c r="H140" s="19" t="n">
        <v>42972.125058912</v>
      </c>
      <c r="I140" s="20" t="n">
        <v>42972.125058912</v>
      </c>
      <c r="J140" s="19" t="n">
        <v>42968.6559655903</v>
      </c>
      <c r="K140" s="20" t="n">
        <v>42968.6559655903</v>
      </c>
      <c r="L140" s="18" t="s">
        <v>15</v>
      </c>
      <c r="M140" s="18"/>
      <c r="N140" s="18"/>
      <c r="O140" s="18"/>
      <c r="P140" s="18" t="s">
        <v>29</v>
      </c>
    </row>
    <row collapsed="false" customFormat="false" customHeight="true" hidden="false" ht="25.5" outlineLevel="0" r="141">
      <c r="A141" s="18" t="s">
        <v>376</v>
      </c>
      <c r="B141" s="18" t="s">
        <v>377</v>
      </c>
      <c r="C141" s="18"/>
      <c r="D141" s="18" t="s">
        <v>88</v>
      </c>
      <c r="E141" s="18" t="s">
        <v>24</v>
      </c>
      <c r="F141" s="18"/>
      <c r="G141" s="18" t="s">
        <v>14</v>
      </c>
      <c r="H141" s="19" t="n">
        <v>42985.084001088</v>
      </c>
      <c r="I141" s="20" t="n">
        <v>42985.084001088</v>
      </c>
      <c r="J141" s="19" t="n">
        <v>42969.5096421528</v>
      </c>
      <c r="K141" s="20" t="n">
        <v>42969.5096421528</v>
      </c>
      <c r="L141" s="18" t="s">
        <v>15</v>
      </c>
      <c r="M141" s="18"/>
      <c r="N141" s="18"/>
      <c r="O141" s="18"/>
      <c r="P141" s="18" t="s">
        <v>58</v>
      </c>
    </row>
    <row collapsed="false" customFormat="false" customHeight="true" hidden="false" ht="25.5" outlineLevel="0" r="142">
      <c r="A142" s="18" t="s">
        <v>378</v>
      </c>
      <c r="B142" s="18" t="s">
        <v>379</v>
      </c>
      <c r="C142" s="18"/>
      <c r="D142" s="18" t="s">
        <v>380</v>
      </c>
      <c r="E142" s="18" t="s">
        <v>72</v>
      </c>
      <c r="F142" s="18"/>
      <c r="G142" s="18" t="s">
        <v>14</v>
      </c>
      <c r="H142" s="19" t="n">
        <v>42973.4565933565</v>
      </c>
      <c r="I142" s="20" t="n">
        <v>42973.4565933565</v>
      </c>
      <c r="J142" s="19" t="n">
        <v>42969.5326363079</v>
      </c>
      <c r="K142" s="20" t="n">
        <v>42969.5326363079</v>
      </c>
      <c r="L142" s="18" t="s">
        <v>15</v>
      </c>
      <c r="M142" s="18"/>
      <c r="N142" s="18"/>
      <c r="O142" s="18"/>
      <c r="P142" s="18" t="s">
        <v>46</v>
      </c>
    </row>
    <row collapsed="false" customFormat="false" customHeight="true" hidden="false" ht="25.5" outlineLevel="0" r="143">
      <c r="A143" s="18" t="s">
        <v>381</v>
      </c>
      <c r="B143" s="18" t="s">
        <v>296</v>
      </c>
      <c r="C143" s="18"/>
      <c r="D143" s="18" t="s">
        <v>61</v>
      </c>
      <c r="E143" s="18" t="s">
        <v>81</v>
      </c>
      <c r="F143" s="18"/>
      <c r="G143" s="18" t="s">
        <v>14</v>
      </c>
      <c r="H143" s="19" t="n">
        <v>42970.588250162</v>
      </c>
      <c r="I143" s="20" t="n">
        <v>42970.588250162</v>
      </c>
      <c r="J143" s="19" t="n">
        <v>42969.7259912731</v>
      </c>
      <c r="K143" s="20" t="n">
        <v>42969.7259912731</v>
      </c>
      <c r="L143" s="18" t="s">
        <v>15</v>
      </c>
      <c r="M143" s="18"/>
      <c r="N143" s="18"/>
      <c r="O143" s="18"/>
      <c r="P143" s="18" t="s">
        <v>29</v>
      </c>
    </row>
    <row collapsed="false" customFormat="false" customHeight="true" hidden="false" ht="25.5" outlineLevel="0" r="144">
      <c r="A144" s="18" t="s">
        <v>382</v>
      </c>
      <c r="B144" s="18" t="s">
        <v>296</v>
      </c>
      <c r="C144" s="18"/>
      <c r="D144" s="18" t="s">
        <v>61</v>
      </c>
      <c r="E144" s="18" t="s">
        <v>81</v>
      </c>
      <c r="F144" s="18"/>
      <c r="G144" s="18" t="s">
        <v>14</v>
      </c>
      <c r="H144" s="19" t="n">
        <v>42970.7040703819</v>
      </c>
      <c r="I144" s="20" t="n">
        <v>42970.7040703819</v>
      </c>
      <c r="J144" s="19" t="n">
        <v>42969.7454496528</v>
      </c>
      <c r="K144" s="20" t="n">
        <v>42969.7454496528</v>
      </c>
      <c r="L144" s="18" t="s">
        <v>15</v>
      </c>
      <c r="M144" s="18"/>
      <c r="N144" s="18"/>
      <c r="O144" s="18"/>
      <c r="P144" s="18" t="s">
        <v>46</v>
      </c>
    </row>
    <row collapsed="false" customFormat="false" customHeight="true" hidden="false" ht="25.5" outlineLevel="0" r="145">
      <c r="A145" s="18" t="s">
        <v>383</v>
      </c>
      <c r="B145" s="18" t="s">
        <v>384</v>
      </c>
      <c r="C145" s="18"/>
      <c r="D145" s="18" t="s">
        <v>385</v>
      </c>
      <c r="E145" s="18" t="s">
        <v>13</v>
      </c>
      <c r="F145" s="18"/>
      <c r="G145" s="18" t="s">
        <v>14</v>
      </c>
      <c r="H145" s="19" t="n">
        <v>42974.4218749074</v>
      </c>
      <c r="I145" s="20" t="n">
        <v>42974.4218749074</v>
      </c>
      <c r="J145" s="19" t="n">
        <v>42971.389168044</v>
      </c>
      <c r="K145" s="20" t="n">
        <v>42971.389168044</v>
      </c>
      <c r="L145" s="18" t="s">
        <v>15</v>
      </c>
      <c r="M145" s="18"/>
      <c r="N145" s="18"/>
      <c r="O145" s="18"/>
      <c r="P145" s="18" t="s">
        <v>29</v>
      </c>
    </row>
    <row collapsed="false" customFormat="false" customHeight="true" hidden="false" ht="25.5" outlineLevel="0" r="146">
      <c r="A146" s="18" t="s">
        <v>386</v>
      </c>
      <c r="B146" s="18" t="s">
        <v>387</v>
      </c>
      <c r="C146" s="18"/>
      <c r="D146" s="18" t="s">
        <v>367</v>
      </c>
      <c r="E146" s="18" t="s">
        <v>72</v>
      </c>
      <c r="F146" s="18"/>
      <c r="G146" s="18" t="s">
        <v>14</v>
      </c>
      <c r="H146" s="19" t="n">
        <v>42971.613711794</v>
      </c>
      <c r="I146" s="20" t="n">
        <v>42971.613711794</v>
      </c>
      <c r="J146" s="19" t="n">
        <v>42971.6090356134</v>
      </c>
      <c r="K146" s="20" t="n">
        <v>42971.6090356134</v>
      </c>
      <c r="L146" s="18" t="s">
        <v>15</v>
      </c>
      <c r="M146" s="18"/>
      <c r="N146" s="18"/>
      <c r="O146" s="18"/>
      <c r="P146" s="18" t="s">
        <v>46</v>
      </c>
    </row>
    <row collapsed="false" customFormat="false" customHeight="true" hidden="false" ht="25.5" outlineLevel="0" r="147">
      <c r="A147" s="18" t="s">
        <v>388</v>
      </c>
      <c r="B147" s="18" t="s">
        <v>389</v>
      </c>
      <c r="C147" s="18"/>
      <c r="D147" s="18" t="s">
        <v>65</v>
      </c>
      <c r="E147" s="18" t="s">
        <v>65</v>
      </c>
      <c r="F147" s="18"/>
      <c r="G147" s="18" t="s">
        <v>14</v>
      </c>
      <c r="H147" s="19" t="n">
        <v>42986.6428432292</v>
      </c>
      <c r="I147" s="20" t="n">
        <v>42986.6428432292</v>
      </c>
      <c r="J147" s="19" t="n">
        <v>42971.6287934375</v>
      </c>
      <c r="K147" s="20" t="n">
        <v>42971.6287934375</v>
      </c>
      <c r="L147" s="18" t="s">
        <v>15</v>
      </c>
      <c r="M147" s="18"/>
      <c r="N147" s="18"/>
      <c r="O147" s="18"/>
      <c r="P147" s="18" t="s">
        <v>16</v>
      </c>
    </row>
    <row collapsed="false" customFormat="false" customHeight="true" hidden="false" ht="25.5" outlineLevel="0" r="148">
      <c r="A148" s="18" t="s">
        <v>390</v>
      </c>
      <c r="B148" s="18" t="s">
        <v>391</v>
      </c>
      <c r="C148" s="18"/>
      <c r="D148" s="18" t="s">
        <v>392</v>
      </c>
      <c r="E148" s="18" t="s">
        <v>28</v>
      </c>
      <c r="F148" s="18"/>
      <c r="G148" s="18" t="s">
        <v>14</v>
      </c>
      <c r="H148" s="19" t="n">
        <v>42974.8337564468</v>
      </c>
      <c r="I148" s="20" t="n">
        <v>42974.8337564468</v>
      </c>
      <c r="J148" s="19" t="n">
        <v>42971.9034026968</v>
      </c>
      <c r="K148" s="20" t="n">
        <v>42971.9034026968</v>
      </c>
      <c r="L148" s="18" t="s">
        <v>15</v>
      </c>
      <c r="M148" s="18"/>
      <c r="N148" s="18"/>
      <c r="O148" s="18"/>
      <c r="P148" s="18" t="s">
        <v>16</v>
      </c>
    </row>
    <row collapsed="false" customFormat="false" customHeight="true" hidden="false" ht="25.5" outlineLevel="0" r="149">
      <c r="A149" s="18" t="s">
        <v>393</v>
      </c>
      <c r="B149" s="18" t="s">
        <v>394</v>
      </c>
      <c r="C149" s="18"/>
      <c r="D149" s="18" t="s">
        <v>88</v>
      </c>
      <c r="E149" s="18" t="s">
        <v>24</v>
      </c>
      <c r="F149" s="18"/>
      <c r="G149" s="18" t="s">
        <v>14</v>
      </c>
      <c r="H149" s="19" t="n">
        <v>42972.6442762616</v>
      </c>
      <c r="I149" s="20" t="n">
        <v>42972.6442762616</v>
      </c>
      <c r="J149" s="19" t="n">
        <v>42972.6376312384</v>
      </c>
      <c r="K149" s="20" t="n">
        <v>42972.6376312384</v>
      </c>
      <c r="L149" s="18" t="s">
        <v>15</v>
      </c>
      <c r="M149" s="18"/>
      <c r="N149" s="18"/>
      <c r="O149" s="18"/>
      <c r="P149" s="18" t="s">
        <v>46</v>
      </c>
    </row>
    <row collapsed="false" customFormat="false" customHeight="true" hidden="false" ht="25.5" outlineLevel="0" r="150">
      <c r="A150" s="18" t="s">
        <v>395</v>
      </c>
      <c r="B150" s="18" t="s">
        <v>396</v>
      </c>
      <c r="C150" s="18"/>
      <c r="D150" s="18" t="s">
        <v>397</v>
      </c>
      <c r="E150" s="18" t="s">
        <v>24</v>
      </c>
      <c r="F150" s="18"/>
      <c r="G150" s="18" t="s">
        <v>14</v>
      </c>
      <c r="H150" s="19" t="n">
        <v>42977.6889647338</v>
      </c>
      <c r="I150" s="20" t="n">
        <v>42977.6889647338</v>
      </c>
      <c r="J150" s="19" t="n">
        <v>42975.6972597801</v>
      </c>
      <c r="K150" s="20" t="n">
        <v>42975.6972597801</v>
      </c>
      <c r="L150" s="18" t="s">
        <v>15</v>
      </c>
      <c r="M150" s="18"/>
      <c r="N150" s="18"/>
      <c r="O150" s="18"/>
      <c r="P150" s="18" t="s">
        <v>29</v>
      </c>
    </row>
    <row collapsed="false" customFormat="false" customHeight="true" hidden="false" ht="25.5" outlineLevel="0" r="151">
      <c r="A151" s="18" t="s">
        <v>398</v>
      </c>
      <c r="B151" s="18" t="s">
        <v>399</v>
      </c>
      <c r="C151" s="18"/>
      <c r="D151" s="18" t="s">
        <v>400</v>
      </c>
      <c r="E151" s="18" t="s">
        <v>401</v>
      </c>
      <c r="F151" s="18"/>
      <c r="G151" s="18" t="s">
        <v>14</v>
      </c>
      <c r="H151" s="19" t="n">
        <v>42977.4565162732</v>
      </c>
      <c r="I151" s="20" t="n">
        <v>42977.4565162732</v>
      </c>
      <c r="J151" s="19" t="n">
        <v>42976.469896088</v>
      </c>
      <c r="K151" s="20" t="n">
        <v>42976.469896088</v>
      </c>
      <c r="L151" s="18" t="s">
        <v>15</v>
      </c>
      <c r="M151" s="18"/>
      <c r="N151" s="18"/>
      <c r="O151" s="18"/>
      <c r="P151" s="18" t="s">
        <v>46</v>
      </c>
    </row>
    <row collapsed="false" customFormat="false" customHeight="true" hidden="false" ht="25.5" outlineLevel="0" r="152">
      <c r="A152" s="18" t="s">
        <v>402</v>
      </c>
      <c r="B152" s="18" t="s">
        <v>403</v>
      </c>
      <c r="C152" s="18"/>
      <c r="D152" s="18" t="s">
        <v>385</v>
      </c>
      <c r="E152" s="18" t="s">
        <v>13</v>
      </c>
      <c r="F152" s="18"/>
      <c r="G152" s="18" t="s">
        <v>14</v>
      </c>
      <c r="H152" s="19" t="n">
        <v>42979.3776845255</v>
      </c>
      <c r="I152" s="20" t="n">
        <v>42979.3776845255</v>
      </c>
      <c r="J152" s="19" t="n">
        <v>42978.5873087963</v>
      </c>
      <c r="K152" s="20" t="n">
        <v>42978.5873087963</v>
      </c>
      <c r="L152" s="18" t="s">
        <v>15</v>
      </c>
      <c r="M152" s="18"/>
      <c r="N152" s="18"/>
      <c r="O152" s="18"/>
      <c r="P152" s="18" t="s">
        <v>29</v>
      </c>
    </row>
    <row collapsed="false" customFormat="false" customHeight="true" hidden="false" ht="25.5" outlineLevel="0" r="153">
      <c r="A153" s="18" t="s">
        <v>404</v>
      </c>
      <c r="B153" s="18" t="s">
        <v>405</v>
      </c>
      <c r="C153" s="18"/>
      <c r="D153" s="18" t="s">
        <v>154</v>
      </c>
      <c r="E153" s="18" t="s">
        <v>55</v>
      </c>
      <c r="F153" s="18"/>
      <c r="G153" s="18" t="s">
        <v>14</v>
      </c>
      <c r="H153" s="19" t="n">
        <v>42982.4691129051</v>
      </c>
      <c r="I153" s="20" t="n">
        <v>42982.4691129051</v>
      </c>
      <c r="J153" s="19" t="n">
        <v>42978.7471365046</v>
      </c>
      <c r="K153" s="20" t="n">
        <v>42978.7471365046</v>
      </c>
      <c r="L153" s="18" t="s">
        <v>15</v>
      </c>
      <c r="M153" s="18"/>
      <c r="N153" s="18"/>
      <c r="O153" s="18"/>
      <c r="P153" s="18" t="s">
        <v>46</v>
      </c>
    </row>
    <row collapsed="false" customFormat="false" customHeight="true" hidden="false" ht="25.5" outlineLevel="0" r="154">
      <c r="A154" s="18" t="s">
        <v>406</v>
      </c>
      <c r="B154" s="18" t="s">
        <v>407</v>
      </c>
      <c r="C154" s="18"/>
      <c r="D154" s="18" t="s">
        <v>408</v>
      </c>
      <c r="E154" s="18" t="s">
        <v>28</v>
      </c>
      <c r="F154" s="18"/>
      <c r="G154" s="18" t="s">
        <v>14</v>
      </c>
      <c r="H154" s="19" t="n">
        <v>42984.3338524537</v>
      </c>
      <c r="I154" s="20" t="n">
        <v>42984.3338524537</v>
      </c>
      <c r="J154" s="19" t="n">
        <v>42979.8320475</v>
      </c>
      <c r="K154" s="20" t="n">
        <v>42979.8320475</v>
      </c>
      <c r="L154" s="18" t="s">
        <v>15</v>
      </c>
      <c r="M154" s="18"/>
      <c r="N154" s="18"/>
      <c r="O154" s="18"/>
      <c r="P154" s="18" t="s">
        <v>58</v>
      </c>
    </row>
    <row collapsed="false" customFormat="false" customHeight="true" hidden="false" ht="25.5" outlineLevel="0" r="155">
      <c r="A155" s="18" t="s">
        <v>409</v>
      </c>
      <c r="B155" s="18" t="s">
        <v>197</v>
      </c>
      <c r="C155" s="18"/>
      <c r="D155" s="18" t="s">
        <v>54</v>
      </c>
      <c r="E155" s="18" t="s">
        <v>81</v>
      </c>
      <c r="F155" s="18"/>
      <c r="G155" s="18" t="s">
        <v>14</v>
      </c>
      <c r="H155" s="19" t="n">
        <v>42984.3338583449</v>
      </c>
      <c r="I155" s="20" t="n">
        <v>42984.3338583449</v>
      </c>
      <c r="J155" s="19" t="n">
        <v>42982.4818130208</v>
      </c>
      <c r="K155" s="20" t="n">
        <v>42982.4818130208</v>
      </c>
      <c r="L155" s="18" t="s">
        <v>15</v>
      </c>
      <c r="M155" s="18"/>
      <c r="N155" s="18"/>
      <c r="O155" s="18"/>
      <c r="P155" s="18" t="s">
        <v>58</v>
      </c>
    </row>
    <row collapsed="false" customFormat="false" customHeight="true" hidden="false" ht="25.5" outlineLevel="0" r="156">
      <c r="A156" s="18" t="s">
        <v>410</v>
      </c>
      <c r="B156" s="18" t="s">
        <v>411</v>
      </c>
      <c r="C156" s="18"/>
      <c r="D156" s="18" t="s">
        <v>54</v>
      </c>
      <c r="E156" s="18" t="s">
        <v>81</v>
      </c>
      <c r="F156" s="18"/>
      <c r="G156" s="18" t="s">
        <v>14</v>
      </c>
      <c r="H156" s="19" t="n">
        <v>42982.6818045139</v>
      </c>
      <c r="I156" s="20" t="n">
        <v>42982.6818045139</v>
      </c>
      <c r="J156" s="19" t="n">
        <v>42982.4960452083</v>
      </c>
      <c r="K156" s="20" t="n">
        <v>42982.4960452083</v>
      </c>
      <c r="L156" s="18" t="s">
        <v>15</v>
      </c>
      <c r="M156" s="18"/>
      <c r="N156" s="18"/>
      <c r="O156" s="18"/>
      <c r="P156" s="18" t="s">
        <v>58</v>
      </c>
    </row>
    <row collapsed="false" customFormat="false" customHeight="true" hidden="false" ht="25.5" outlineLevel="0" r="157">
      <c r="A157" s="18" t="s">
        <v>412</v>
      </c>
      <c r="B157" s="18" t="s">
        <v>413</v>
      </c>
      <c r="C157" s="18"/>
      <c r="D157" s="18" t="s">
        <v>414</v>
      </c>
      <c r="E157" s="18" t="s">
        <v>41</v>
      </c>
      <c r="F157" s="18"/>
      <c r="G157" s="18" t="s">
        <v>14</v>
      </c>
      <c r="H157" s="19" t="n">
        <v>42988.5667509722</v>
      </c>
      <c r="I157" s="20" t="n">
        <v>42988.5667509722</v>
      </c>
      <c r="J157" s="19" t="n">
        <v>42983.7587687384</v>
      </c>
      <c r="K157" s="20" t="n">
        <v>42983.7587687384</v>
      </c>
      <c r="L157" s="18" t="s">
        <v>15</v>
      </c>
      <c r="M157" s="18"/>
      <c r="N157" s="18"/>
      <c r="O157" s="18"/>
      <c r="P157" s="18" t="s">
        <v>46</v>
      </c>
    </row>
    <row collapsed="false" customFormat="false" customHeight="true" hidden="false" ht="25.5" outlineLevel="0" r="158">
      <c r="A158" s="18" t="s">
        <v>415</v>
      </c>
      <c r="B158" s="18" t="s">
        <v>48</v>
      </c>
      <c r="C158" s="18"/>
      <c r="D158" s="18" t="s">
        <v>416</v>
      </c>
      <c r="E158" s="18" t="s">
        <v>72</v>
      </c>
      <c r="F158" s="18"/>
      <c r="G158" s="18" t="s">
        <v>14</v>
      </c>
      <c r="H158" s="19" t="n">
        <v>42985.4294011227</v>
      </c>
      <c r="I158" s="20" t="n">
        <v>42985.4294011227</v>
      </c>
      <c r="J158" s="19" t="n">
        <v>42984.412501713</v>
      </c>
      <c r="K158" s="20" t="n">
        <v>42984.412501713</v>
      </c>
      <c r="L158" s="18" t="s">
        <v>15</v>
      </c>
      <c r="M158" s="18"/>
      <c r="N158" s="18"/>
      <c r="O158" s="18"/>
      <c r="P158" s="18" t="s">
        <v>29</v>
      </c>
    </row>
    <row collapsed="false" customFormat="false" customHeight="true" hidden="false" ht="25.5" outlineLevel="0" r="159">
      <c r="A159" s="18" t="s">
        <v>417</v>
      </c>
      <c r="B159" s="18" t="s">
        <v>418</v>
      </c>
      <c r="C159" s="18"/>
      <c r="D159" s="18" t="s">
        <v>54</v>
      </c>
      <c r="E159" s="18" t="s">
        <v>81</v>
      </c>
      <c r="F159" s="18"/>
      <c r="G159" s="18" t="s">
        <v>14</v>
      </c>
      <c r="H159" s="19" t="n">
        <v>42996.6246243866</v>
      </c>
      <c r="I159" s="20" t="n">
        <v>42996.6246243866</v>
      </c>
      <c r="J159" s="19" t="n">
        <v>42984.442776713</v>
      </c>
      <c r="K159" s="20" t="n">
        <v>42984.442776713</v>
      </c>
      <c r="L159" s="18" t="s">
        <v>15</v>
      </c>
      <c r="M159" s="18"/>
      <c r="N159" s="18"/>
      <c r="O159" s="18"/>
      <c r="P159" s="18" t="s">
        <v>46</v>
      </c>
    </row>
    <row collapsed="false" customFormat="false" customHeight="true" hidden="false" ht="25.5" outlineLevel="0" r="160">
      <c r="A160" s="18" t="s">
        <v>419</v>
      </c>
      <c r="B160" s="18" t="s">
        <v>420</v>
      </c>
      <c r="C160" s="18"/>
      <c r="D160" s="18" t="s">
        <v>421</v>
      </c>
      <c r="E160" s="18" t="s">
        <v>20</v>
      </c>
      <c r="F160" s="18"/>
      <c r="G160" s="18" t="s">
        <v>14</v>
      </c>
      <c r="H160" s="19" t="n">
        <v>42986.3934810069</v>
      </c>
      <c r="I160" s="20" t="n">
        <v>42986.3934810069</v>
      </c>
      <c r="J160" s="19" t="n">
        <v>42985.4884813773</v>
      </c>
      <c r="K160" s="20" t="n">
        <v>42985.4884813773</v>
      </c>
      <c r="L160" s="18" t="s">
        <v>15</v>
      </c>
      <c r="M160" s="18"/>
      <c r="N160" s="18"/>
      <c r="O160" s="18"/>
      <c r="P160" s="18" t="s">
        <v>46</v>
      </c>
    </row>
    <row collapsed="false" customFormat="false" customHeight="true" hidden="false" ht="25.5" outlineLevel="0" r="161">
      <c r="A161" s="18" t="s">
        <v>422</v>
      </c>
      <c r="B161" s="18" t="s">
        <v>48</v>
      </c>
      <c r="C161" s="18"/>
      <c r="D161" s="18" t="s">
        <v>416</v>
      </c>
      <c r="E161" s="18" t="s">
        <v>72</v>
      </c>
      <c r="F161" s="18"/>
      <c r="G161" s="18" t="s">
        <v>14</v>
      </c>
      <c r="H161" s="19" t="n">
        <v>42987.1672722685</v>
      </c>
      <c r="I161" s="20" t="n">
        <v>42987.1672722685</v>
      </c>
      <c r="J161" s="19" t="n">
        <v>42985.6047099421</v>
      </c>
      <c r="K161" s="20" t="n">
        <v>42985.6047099421</v>
      </c>
      <c r="L161" s="18" t="s">
        <v>15</v>
      </c>
      <c r="M161" s="18"/>
      <c r="N161" s="18"/>
      <c r="O161" s="18"/>
      <c r="P161" s="18" t="s">
        <v>46</v>
      </c>
    </row>
    <row collapsed="false" customFormat="false" customHeight="true" hidden="false" ht="25.5" outlineLevel="0" r="162">
      <c r="A162" s="18" t="s">
        <v>423</v>
      </c>
      <c r="B162" s="18" t="s">
        <v>424</v>
      </c>
      <c r="C162" s="18"/>
      <c r="D162" s="18" t="s">
        <v>425</v>
      </c>
      <c r="E162" s="18" t="s">
        <v>72</v>
      </c>
      <c r="F162" s="18"/>
      <c r="G162" s="18" t="s">
        <v>14</v>
      </c>
      <c r="H162" s="19" t="n">
        <v>42985.6958910185</v>
      </c>
      <c r="I162" s="20" t="n">
        <v>42985.6958910185</v>
      </c>
      <c r="J162" s="19" t="n">
        <v>42985.6066564815</v>
      </c>
      <c r="K162" s="20" t="n">
        <v>42985.6066564815</v>
      </c>
      <c r="L162" s="18" t="s">
        <v>15</v>
      </c>
      <c r="M162" s="18"/>
      <c r="N162" s="18"/>
      <c r="O162" s="18"/>
      <c r="P162" s="18" t="s">
        <v>46</v>
      </c>
    </row>
    <row collapsed="false" customFormat="false" customHeight="true" hidden="false" ht="25.5" outlineLevel="0" r="163">
      <c r="A163" s="18" t="s">
        <v>426</v>
      </c>
      <c r="B163" s="18" t="s">
        <v>427</v>
      </c>
      <c r="C163" s="18"/>
      <c r="D163" s="18" t="s">
        <v>140</v>
      </c>
      <c r="E163" s="18" t="s">
        <v>28</v>
      </c>
      <c r="F163" s="18"/>
      <c r="G163" s="18" t="s">
        <v>14</v>
      </c>
      <c r="H163" s="19" t="n">
        <v>42988.8755214931</v>
      </c>
      <c r="I163" s="20" t="n">
        <v>42988.8755214931</v>
      </c>
      <c r="J163" s="19" t="n">
        <v>42985.85483625</v>
      </c>
      <c r="K163" s="20" t="n">
        <v>42985.85483625</v>
      </c>
      <c r="L163" s="18" t="s">
        <v>15</v>
      </c>
      <c r="M163" s="18"/>
      <c r="N163" s="18"/>
      <c r="O163" s="18"/>
      <c r="P163" s="18" t="s">
        <v>16</v>
      </c>
    </row>
    <row collapsed="false" customFormat="false" customHeight="true" hidden="false" ht="25.5" outlineLevel="0" r="164">
      <c r="A164" s="18" t="s">
        <v>428</v>
      </c>
      <c r="B164" s="18" t="s">
        <v>429</v>
      </c>
      <c r="C164" s="18"/>
      <c r="D164" s="18" t="s">
        <v>430</v>
      </c>
      <c r="E164" s="18" t="s">
        <v>175</v>
      </c>
      <c r="F164" s="18"/>
      <c r="G164" s="18" t="s">
        <v>14</v>
      </c>
      <c r="H164" s="19" t="n">
        <v>42989.6084262732</v>
      </c>
      <c r="I164" s="20" t="n">
        <v>42989.6084262732</v>
      </c>
      <c r="J164" s="19" t="n">
        <v>42985.9255281366</v>
      </c>
      <c r="K164" s="20" t="n">
        <v>42985.9255281366</v>
      </c>
      <c r="L164" s="18" t="s">
        <v>15</v>
      </c>
      <c r="M164" s="18"/>
      <c r="N164" s="18"/>
      <c r="O164" s="18"/>
      <c r="P164" s="18" t="s">
        <v>46</v>
      </c>
    </row>
    <row collapsed="false" customFormat="false" customHeight="true" hidden="false" ht="25.5" outlineLevel="0" r="165">
      <c r="A165" s="18" t="s">
        <v>431</v>
      </c>
      <c r="B165" s="18" t="s">
        <v>432</v>
      </c>
      <c r="C165" s="18"/>
      <c r="D165" s="18" t="s">
        <v>154</v>
      </c>
      <c r="E165" s="18" t="s">
        <v>28</v>
      </c>
      <c r="F165" s="18"/>
      <c r="G165" s="18" t="s">
        <v>14</v>
      </c>
      <c r="H165" s="19" t="n">
        <v>42993.1672192708</v>
      </c>
      <c r="I165" s="20" t="n">
        <v>42993.1672192708</v>
      </c>
      <c r="J165" s="19" t="n">
        <v>42986.8266185185</v>
      </c>
      <c r="K165" s="20" t="n">
        <v>42986.8266185185</v>
      </c>
      <c r="L165" s="18" t="s">
        <v>15</v>
      </c>
      <c r="M165" s="18"/>
      <c r="N165" s="18"/>
      <c r="O165" s="18"/>
      <c r="P165" s="18" t="s">
        <v>46</v>
      </c>
    </row>
    <row collapsed="false" customFormat="false" customHeight="true" hidden="false" ht="25.5" outlineLevel="0" r="166">
      <c r="A166" s="18" t="s">
        <v>433</v>
      </c>
      <c r="B166" s="18" t="s">
        <v>434</v>
      </c>
      <c r="C166" s="18"/>
      <c r="D166" s="18" t="s">
        <v>435</v>
      </c>
      <c r="E166" s="18" t="s">
        <v>215</v>
      </c>
      <c r="F166" s="18"/>
      <c r="G166" s="18" t="s">
        <v>14</v>
      </c>
      <c r="H166" s="19" t="n">
        <v>42991.3714436806</v>
      </c>
      <c r="I166" s="20" t="n">
        <v>42991.3714436806</v>
      </c>
      <c r="J166" s="19" t="n">
        <v>42989.6397233102</v>
      </c>
      <c r="K166" s="20" t="n">
        <v>42989.6397233102</v>
      </c>
      <c r="L166" s="18" t="s">
        <v>15</v>
      </c>
      <c r="M166" s="18"/>
      <c r="N166" s="18"/>
      <c r="O166" s="18"/>
      <c r="P166" s="18" t="s">
        <v>16</v>
      </c>
    </row>
    <row collapsed="false" customFormat="false" customHeight="true" hidden="false" ht="25.5" outlineLevel="0" r="167">
      <c r="A167" s="18" t="s">
        <v>436</v>
      </c>
      <c r="B167" s="18" t="s">
        <v>437</v>
      </c>
      <c r="C167" s="18"/>
      <c r="D167" s="18" t="s">
        <v>140</v>
      </c>
      <c r="E167" s="18" t="s">
        <v>81</v>
      </c>
      <c r="F167" s="18"/>
      <c r="G167" s="18" t="s">
        <v>14</v>
      </c>
      <c r="H167" s="19" t="n">
        <v>42991.5390404167</v>
      </c>
      <c r="I167" s="20" t="n">
        <v>42991.5390404167</v>
      </c>
      <c r="J167" s="19" t="n">
        <v>42990.506422662</v>
      </c>
      <c r="K167" s="20" t="n">
        <v>42990.506422662</v>
      </c>
      <c r="L167" s="18" t="s">
        <v>15</v>
      </c>
      <c r="M167" s="18"/>
      <c r="N167" s="18"/>
      <c r="O167" s="18"/>
      <c r="P167" s="18" t="s">
        <v>16</v>
      </c>
    </row>
    <row collapsed="false" customFormat="false" customHeight="true" hidden="false" ht="25.5" outlineLevel="0" r="168">
      <c r="A168" s="18" t="s">
        <v>438</v>
      </c>
      <c r="B168" s="18" t="s">
        <v>439</v>
      </c>
      <c r="C168" s="18"/>
      <c r="D168" s="18" t="s">
        <v>240</v>
      </c>
      <c r="E168" s="18" t="s">
        <v>240</v>
      </c>
      <c r="F168" s="18"/>
      <c r="G168" s="18" t="s">
        <v>14</v>
      </c>
      <c r="H168" s="19" t="n">
        <v>42996.0839173495</v>
      </c>
      <c r="I168" s="20" t="n">
        <v>42996.0839173495</v>
      </c>
      <c r="J168" s="19" t="n">
        <v>42990.5431831019</v>
      </c>
      <c r="K168" s="20" t="n">
        <v>42990.5431831019</v>
      </c>
      <c r="L168" s="18" t="s">
        <v>15</v>
      </c>
      <c r="M168" s="18"/>
      <c r="N168" s="18"/>
      <c r="O168" s="18"/>
      <c r="P168" s="18" t="s">
        <v>46</v>
      </c>
    </row>
    <row collapsed="false" customFormat="false" customHeight="true" hidden="false" ht="25.5" outlineLevel="0" r="169">
      <c r="A169" s="18" t="s">
        <v>440</v>
      </c>
      <c r="B169" s="18" t="s">
        <v>441</v>
      </c>
      <c r="C169" s="18"/>
      <c r="D169" s="18" t="s">
        <v>442</v>
      </c>
      <c r="E169" s="18" t="s">
        <v>20</v>
      </c>
      <c r="F169" s="18"/>
      <c r="G169" s="18" t="s">
        <v>14</v>
      </c>
      <c r="H169" s="19" t="n">
        <v>43058.4444007407</v>
      </c>
      <c r="I169" s="20" t="n">
        <v>43058.4444007407</v>
      </c>
      <c r="J169" s="19" t="n">
        <v>42991.4491967708</v>
      </c>
      <c r="K169" s="20" t="n">
        <v>42991.4491967708</v>
      </c>
      <c r="L169" s="18" t="s">
        <v>15</v>
      </c>
      <c r="M169" s="18"/>
      <c r="N169" s="18"/>
      <c r="O169" s="18"/>
      <c r="P169" s="18" t="s">
        <v>16</v>
      </c>
    </row>
    <row collapsed="false" customFormat="false" customHeight="true" hidden="false" ht="25.5" outlineLevel="0" r="170">
      <c r="A170" s="18" t="s">
        <v>443</v>
      </c>
      <c r="B170" s="18" t="s">
        <v>444</v>
      </c>
      <c r="C170" s="18"/>
      <c r="D170" s="18" t="s">
        <v>445</v>
      </c>
      <c r="E170" s="18" t="s">
        <v>72</v>
      </c>
      <c r="F170" s="18"/>
      <c r="G170" s="18" t="s">
        <v>14</v>
      </c>
      <c r="H170" s="19" t="n">
        <v>42995.7197503125</v>
      </c>
      <c r="I170" s="20" t="n">
        <v>42995.7197503125</v>
      </c>
      <c r="J170" s="19" t="n">
        <v>42991.6036685301</v>
      </c>
      <c r="K170" s="20" t="n">
        <v>42991.6036685301</v>
      </c>
      <c r="L170" s="18" t="s">
        <v>15</v>
      </c>
      <c r="M170" s="18"/>
      <c r="N170" s="18"/>
      <c r="O170" s="18"/>
      <c r="P170" s="18" t="s">
        <v>16</v>
      </c>
    </row>
    <row collapsed="false" customFormat="false" customHeight="true" hidden="false" ht="25.5" outlineLevel="0" r="171">
      <c r="A171" s="18" t="s">
        <v>446</v>
      </c>
      <c r="B171" s="18" t="s">
        <v>447</v>
      </c>
      <c r="C171" s="18"/>
      <c r="D171" s="18" t="s">
        <v>448</v>
      </c>
      <c r="E171" s="18" t="s">
        <v>41</v>
      </c>
      <c r="F171" s="18"/>
      <c r="G171" s="18" t="s">
        <v>14</v>
      </c>
      <c r="H171" s="19" t="n">
        <v>42996.6850865856</v>
      </c>
      <c r="I171" s="20" t="n">
        <v>42996.6850865856</v>
      </c>
      <c r="J171" s="19" t="n">
        <v>42992.8215478935</v>
      </c>
      <c r="K171" s="20" t="n">
        <v>42992.8215478935</v>
      </c>
      <c r="L171" s="18" t="s">
        <v>15</v>
      </c>
      <c r="M171" s="18"/>
      <c r="N171" s="18"/>
      <c r="O171" s="18"/>
      <c r="P171" s="18" t="s">
        <v>46</v>
      </c>
    </row>
    <row collapsed="false" customFormat="false" customHeight="true" hidden="false" ht="25.5" outlineLevel="0" r="172">
      <c r="A172" s="18" t="s">
        <v>449</v>
      </c>
      <c r="B172" s="18" t="s">
        <v>450</v>
      </c>
      <c r="C172" s="18"/>
      <c r="D172" s="18" t="s">
        <v>154</v>
      </c>
      <c r="E172" s="18" t="s">
        <v>28</v>
      </c>
      <c r="F172" s="18"/>
      <c r="G172" s="18" t="s">
        <v>14</v>
      </c>
      <c r="H172" s="19" t="n">
        <v>43000.7595150116</v>
      </c>
      <c r="I172" s="20" t="n">
        <v>43000.7595150116</v>
      </c>
      <c r="J172" s="19" t="n">
        <v>42992.8239102315</v>
      </c>
      <c r="K172" s="20" t="n">
        <v>42992.8239102315</v>
      </c>
      <c r="L172" s="18" t="s">
        <v>15</v>
      </c>
      <c r="M172" s="18"/>
      <c r="N172" s="18"/>
      <c r="O172" s="18"/>
      <c r="P172" s="18" t="s">
        <v>46</v>
      </c>
    </row>
    <row collapsed="false" customFormat="false" customHeight="true" hidden="false" ht="25.5" outlineLevel="0" r="173">
      <c r="A173" s="18" t="s">
        <v>451</v>
      </c>
      <c r="B173" s="18" t="s">
        <v>452</v>
      </c>
      <c r="C173" s="18"/>
      <c r="D173" s="18" t="s">
        <v>61</v>
      </c>
      <c r="E173" s="18" t="s">
        <v>175</v>
      </c>
      <c r="F173" s="18"/>
      <c r="G173" s="18" t="s">
        <v>14</v>
      </c>
      <c r="H173" s="19" t="n">
        <v>42995.9588665278</v>
      </c>
      <c r="I173" s="20" t="n">
        <v>42995.9588665278</v>
      </c>
      <c r="J173" s="19" t="n">
        <v>42992.828112338</v>
      </c>
      <c r="K173" s="20" t="n">
        <v>42992.828112338</v>
      </c>
      <c r="L173" s="18" t="s">
        <v>15</v>
      </c>
      <c r="M173" s="18"/>
      <c r="N173" s="18"/>
      <c r="O173" s="18"/>
      <c r="P173" s="18" t="s">
        <v>16</v>
      </c>
    </row>
    <row collapsed="false" customFormat="false" customHeight="true" hidden="false" ht="25.5" outlineLevel="0" r="174">
      <c r="A174" s="18" t="s">
        <v>453</v>
      </c>
      <c r="B174" s="18" t="s">
        <v>454</v>
      </c>
      <c r="C174" s="18"/>
      <c r="D174" s="18" t="s">
        <v>455</v>
      </c>
      <c r="E174" s="18" t="s">
        <v>28</v>
      </c>
      <c r="F174" s="18"/>
      <c r="G174" s="18" t="s">
        <v>14</v>
      </c>
      <c r="H174" s="19" t="n">
        <v>42998.0847805324</v>
      </c>
      <c r="I174" s="20" t="n">
        <v>42998.0847805324</v>
      </c>
      <c r="J174" s="19" t="n">
        <v>42992.9584274074</v>
      </c>
      <c r="K174" s="20" t="n">
        <v>42992.9584274074</v>
      </c>
      <c r="L174" s="18" t="s">
        <v>15</v>
      </c>
      <c r="M174" s="18"/>
      <c r="N174" s="18"/>
      <c r="O174" s="18"/>
      <c r="P174" s="18" t="s">
        <v>16</v>
      </c>
    </row>
    <row collapsed="false" customFormat="false" customHeight="true" hidden="false" ht="25.5" outlineLevel="0" r="175">
      <c r="A175" s="18" t="s">
        <v>456</v>
      </c>
      <c r="B175" s="18" t="s">
        <v>457</v>
      </c>
      <c r="C175" s="18"/>
      <c r="D175" s="18" t="s">
        <v>458</v>
      </c>
      <c r="E175" s="18" t="s">
        <v>28</v>
      </c>
      <c r="F175" s="18"/>
      <c r="G175" s="18" t="s">
        <v>14</v>
      </c>
      <c r="H175" s="19" t="n">
        <v>42996.4425686921</v>
      </c>
      <c r="I175" s="20" t="n">
        <v>42996.4425686921</v>
      </c>
      <c r="J175" s="19" t="n">
        <v>42993.710660162</v>
      </c>
      <c r="K175" s="20" t="n">
        <v>42993.710660162</v>
      </c>
      <c r="L175" s="18" t="s">
        <v>15</v>
      </c>
      <c r="M175" s="18"/>
      <c r="N175" s="18"/>
      <c r="O175" s="18"/>
      <c r="P175" s="18" t="s">
        <v>46</v>
      </c>
    </row>
    <row collapsed="false" customFormat="false" customHeight="true" hidden="false" ht="25.5" outlineLevel="0" r="176">
      <c r="A176" s="18" t="s">
        <v>459</v>
      </c>
      <c r="B176" s="18" t="s">
        <v>460</v>
      </c>
      <c r="C176" s="18"/>
      <c r="D176" s="18" t="s">
        <v>461</v>
      </c>
      <c r="E176" s="18" t="s">
        <v>208</v>
      </c>
      <c r="F176" s="18"/>
      <c r="G176" s="18" t="s">
        <v>14</v>
      </c>
      <c r="H176" s="19" t="n">
        <v>42999.0844764005</v>
      </c>
      <c r="I176" s="20" t="n">
        <v>42999.0844764005</v>
      </c>
      <c r="J176" s="19" t="n">
        <v>42996.4945518981</v>
      </c>
      <c r="K176" s="20" t="n">
        <v>42996.4945518981</v>
      </c>
      <c r="L176" s="18" t="s">
        <v>15</v>
      </c>
      <c r="M176" s="18"/>
      <c r="N176" s="18"/>
      <c r="O176" s="18"/>
      <c r="P176" s="18" t="s">
        <v>58</v>
      </c>
    </row>
    <row collapsed="false" customFormat="false" customHeight="true" hidden="false" ht="25.5" outlineLevel="0" r="177">
      <c r="A177" s="18" t="s">
        <v>462</v>
      </c>
      <c r="B177" s="18" t="s">
        <v>463</v>
      </c>
      <c r="C177" s="18"/>
      <c r="D177" s="18" t="s">
        <v>464</v>
      </c>
      <c r="E177" s="18" t="s">
        <v>215</v>
      </c>
      <c r="F177" s="18"/>
      <c r="G177" s="18" t="s">
        <v>14</v>
      </c>
      <c r="H177" s="19" t="n">
        <v>42997.5278165394</v>
      </c>
      <c r="I177" s="20" t="n">
        <v>42997.5278165394</v>
      </c>
      <c r="J177" s="19" t="n">
        <v>42997.4407713773</v>
      </c>
      <c r="K177" s="20" t="n">
        <v>42997.4407713773</v>
      </c>
      <c r="L177" s="18" t="s">
        <v>15</v>
      </c>
      <c r="M177" s="18"/>
      <c r="N177" s="18"/>
      <c r="O177" s="18"/>
      <c r="P177" s="18" t="s">
        <v>46</v>
      </c>
    </row>
    <row collapsed="false" customFormat="false" customHeight="true" hidden="false" ht="25.5" outlineLevel="0" r="178">
      <c r="A178" s="18" t="s">
        <v>465</v>
      </c>
      <c r="B178" s="18" t="s">
        <v>466</v>
      </c>
      <c r="C178" s="18"/>
      <c r="D178" s="18" t="s">
        <v>467</v>
      </c>
      <c r="E178" s="18" t="s">
        <v>133</v>
      </c>
      <c r="F178" s="18"/>
      <c r="G178" s="18" t="s">
        <v>14</v>
      </c>
      <c r="H178" s="19" t="n">
        <v>43000.7609580903</v>
      </c>
      <c r="I178" s="20" t="n">
        <v>43000.7609580903</v>
      </c>
      <c r="J178" s="19" t="n">
        <v>42997.9732951505</v>
      </c>
      <c r="K178" s="20" t="n">
        <v>42997.9732951505</v>
      </c>
      <c r="L178" s="18" t="s">
        <v>15</v>
      </c>
      <c r="M178" s="18"/>
      <c r="N178" s="18"/>
      <c r="O178" s="18"/>
      <c r="P178" s="18" t="s">
        <v>46</v>
      </c>
    </row>
    <row collapsed="false" customFormat="false" customHeight="true" hidden="false" ht="25.5" outlineLevel="0" r="179">
      <c r="A179" s="18" t="s">
        <v>468</v>
      </c>
      <c r="B179" s="18" t="s">
        <v>469</v>
      </c>
      <c r="C179" s="18"/>
      <c r="D179" s="18" t="s">
        <v>470</v>
      </c>
      <c r="E179" s="18" t="s">
        <v>470</v>
      </c>
      <c r="F179" s="18"/>
      <c r="G179" s="18" t="s">
        <v>14</v>
      </c>
      <c r="H179" s="19" t="n">
        <v>43002.7086683796</v>
      </c>
      <c r="I179" s="20" t="n">
        <v>43002.7086683796</v>
      </c>
      <c r="J179" s="19" t="n">
        <v>42998.6950111921</v>
      </c>
      <c r="K179" s="20" t="n">
        <v>42998.6950111921</v>
      </c>
      <c r="L179" s="18" t="s">
        <v>15</v>
      </c>
      <c r="M179" s="18"/>
      <c r="N179" s="18"/>
      <c r="O179" s="18"/>
      <c r="P179" s="18" t="s">
        <v>46</v>
      </c>
    </row>
    <row collapsed="false" customFormat="false" customHeight="true" hidden="false" ht="25.5" outlineLevel="0" r="180">
      <c r="A180" s="18" t="s">
        <v>471</v>
      </c>
      <c r="B180" s="18" t="s">
        <v>472</v>
      </c>
      <c r="C180" s="18"/>
      <c r="D180" s="18" t="s">
        <v>473</v>
      </c>
      <c r="E180" s="18" t="s">
        <v>20</v>
      </c>
      <c r="F180" s="18"/>
      <c r="G180" s="18" t="s">
        <v>14</v>
      </c>
      <c r="H180" s="19" t="n">
        <v>43026.5320718056</v>
      </c>
      <c r="I180" s="20" t="n">
        <v>43026.5320718056</v>
      </c>
      <c r="J180" s="19" t="n">
        <v>42999.4288978009</v>
      </c>
      <c r="K180" s="20" t="n">
        <v>42999.4288978009</v>
      </c>
      <c r="L180" s="18" t="s">
        <v>15</v>
      </c>
      <c r="M180" s="18"/>
      <c r="N180" s="18"/>
      <c r="O180" s="18"/>
      <c r="P180" s="18" t="s">
        <v>46</v>
      </c>
    </row>
    <row collapsed="false" customFormat="false" customHeight="true" hidden="false" ht="25.5" outlineLevel="0" r="181">
      <c r="A181" s="18" t="s">
        <v>474</v>
      </c>
      <c r="B181" s="18" t="s">
        <v>475</v>
      </c>
      <c r="C181" s="18"/>
      <c r="D181" s="18" t="s">
        <v>476</v>
      </c>
      <c r="E181" s="18" t="s">
        <v>37</v>
      </c>
      <c r="F181" s="18"/>
      <c r="G181" s="18" t="s">
        <v>14</v>
      </c>
      <c r="H181" s="19" t="n">
        <v>43002.7552525463</v>
      </c>
      <c r="I181" s="20" t="n">
        <v>43002.7552525463</v>
      </c>
      <c r="J181" s="19" t="n">
        <v>42999.4811560185</v>
      </c>
      <c r="K181" s="20" t="n">
        <v>42999.4811560185</v>
      </c>
      <c r="L181" s="18" t="s">
        <v>15</v>
      </c>
      <c r="M181" s="18"/>
      <c r="N181" s="18"/>
      <c r="O181" s="18"/>
      <c r="P181" s="18" t="s">
        <v>46</v>
      </c>
    </row>
    <row collapsed="false" customFormat="false" customHeight="true" hidden="false" ht="25.5" outlineLevel="0" r="182">
      <c r="A182" s="18" t="s">
        <v>477</v>
      </c>
      <c r="B182" s="18" t="s">
        <v>478</v>
      </c>
      <c r="C182" s="18"/>
      <c r="D182" s="18" t="s">
        <v>479</v>
      </c>
      <c r="E182" s="18" t="s">
        <v>33</v>
      </c>
      <c r="F182" s="18"/>
      <c r="G182" s="18" t="s">
        <v>14</v>
      </c>
      <c r="H182" s="19" t="n">
        <v>43008.3553337384</v>
      </c>
      <c r="I182" s="20" t="n">
        <v>43008.3553337384</v>
      </c>
      <c r="J182" s="19" t="n">
        <v>43000.5853100694</v>
      </c>
      <c r="K182" s="20" t="n">
        <v>43000.5853100694</v>
      </c>
      <c r="L182" s="18" t="s">
        <v>15</v>
      </c>
      <c r="M182" s="18"/>
      <c r="N182" s="18"/>
      <c r="O182" s="18"/>
      <c r="P182" s="18" t="s">
        <v>46</v>
      </c>
    </row>
    <row collapsed="false" customFormat="false" customHeight="true" hidden="false" ht="25.5" outlineLevel="0" r="183">
      <c r="A183" s="18" t="s">
        <v>480</v>
      </c>
      <c r="B183" s="18" t="s">
        <v>481</v>
      </c>
      <c r="C183" s="18"/>
      <c r="D183" s="18" t="s">
        <v>482</v>
      </c>
      <c r="E183" s="18" t="s">
        <v>72</v>
      </c>
      <c r="F183" s="18"/>
      <c r="G183" s="18" t="s">
        <v>14</v>
      </c>
      <c r="H183" s="19" t="n">
        <v>43005.0853544097</v>
      </c>
      <c r="I183" s="20" t="n">
        <v>43005.0853544097</v>
      </c>
      <c r="J183" s="19" t="n">
        <v>43003.4768446644</v>
      </c>
      <c r="K183" s="20" t="n">
        <v>43003.4768446644</v>
      </c>
      <c r="L183" s="18" t="s">
        <v>15</v>
      </c>
      <c r="M183" s="18"/>
      <c r="N183" s="18"/>
      <c r="O183" s="18"/>
      <c r="P183" s="18" t="s">
        <v>58</v>
      </c>
    </row>
    <row collapsed="false" customFormat="false" customHeight="true" hidden="false" ht="25.5" outlineLevel="0" r="184">
      <c r="A184" s="18" t="s">
        <v>483</v>
      </c>
      <c r="B184" s="18" t="s">
        <v>484</v>
      </c>
      <c r="C184" s="18"/>
      <c r="D184" s="18" t="s">
        <v>476</v>
      </c>
      <c r="E184" s="18" t="s">
        <v>215</v>
      </c>
      <c r="F184" s="18"/>
      <c r="G184" s="18" t="s">
        <v>14</v>
      </c>
      <c r="H184" s="19" t="n">
        <v>43004.7347815741</v>
      </c>
      <c r="I184" s="20" t="n">
        <v>43004.7347815741</v>
      </c>
      <c r="J184" s="19" t="n">
        <v>43003.4982705093</v>
      </c>
      <c r="K184" s="20" t="n">
        <v>43003.4982705093</v>
      </c>
      <c r="L184" s="18" t="s">
        <v>15</v>
      </c>
      <c r="M184" s="18"/>
      <c r="N184" s="18"/>
      <c r="O184" s="18"/>
      <c r="P184" s="18" t="s">
        <v>46</v>
      </c>
    </row>
    <row collapsed="false" customFormat="false" customHeight="true" hidden="false" ht="25.5" outlineLevel="0" r="185">
      <c r="A185" s="18" t="s">
        <v>485</v>
      </c>
      <c r="B185" s="18" t="s">
        <v>486</v>
      </c>
      <c r="C185" s="18"/>
      <c r="D185" s="18" t="s">
        <v>487</v>
      </c>
      <c r="E185" s="18" t="s">
        <v>115</v>
      </c>
      <c r="F185" s="18"/>
      <c r="G185" s="18" t="s">
        <v>14</v>
      </c>
      <c r="H185" s="19" t="n">
        <v>43005.4515341088</v>
      </c>
      <c r="I185" s="20" t="n">
        <v>43005.4515341088</v>
      </c>
      <c r="J185" s="19" t="n">
        <v>43004.4076530324</v>
      </c>
      <c r="K185" s="20" t="n">
        <v>43004.4076530324</v>
      </c>
      <c r="L185" s="18" t="s">
        <v>15</v>
      </c>
      <c r="M185" s="18"/>
      <c r="N185" s="18"/>
      <c r="O185" s="18"/>
      <c r="P185" s="18" t="s">
        <v>46</v>
      </c>
    </row>
    <row collapsed="false" customFormat="false" customHeight="true" hidden="false" ht="25.5" outlineLevel="0" r="186">
      <c r="A186" s="18" t="s">
        <v>488</v>
      </c>
      <c r="B186" s="18" t="s">
        <v>489</v>
      </c>
      <c r="C186" s="18"/>
      <c r="D186" s="18" t="s">
        <v>61</v>
      </c>
      <c r="E186" s="18" t="s">
        <v>28</v>
      </c>
      <c r="F186" s="18"/>
      <c r="G186" s="18" t="s">
        <v>14</v>
      </c>
      <c r="H186" s="19" t="n">
        <v>43007.1253609607</v>
      </c>
      <c r="I186" s="20" t="n">
        <v>43007.1253609607</v>
      </c>
      <c r="J186" s="19" t="n">
        <v>43004.9838006019</v>
      </c>
      <c r="K186" s="20" t="n">
        <v>43004.9838006019</v>
      </c>
      <c r="L186" s="18" t="s">
        <v>15</v>
      </c>
      <c r="M186" s="18"/>
      <c r="N186" s="18"/>
      <c r="O186" s="18"/>
      <c r="P186" s="18" t="s">
        <v>16</v>
      </c>
    </row>
    <row collapsed="false" customFormat="false" customHeight="true" hidden="false" ht="25.5" outlineLevel="0" r="187">
      <c r="A187" s="18" t="s">
        <v>490</v>
      </c>
      <c r="B187" s="18" t="s">
        <v>491</v>
      </c>
      <c r="C187" s="18"/>
      <c r="D187" s="18" t="s">
        <v>492</v>
      </c>
      <c r="E187" s="18" t="s">
        <v>72</v>
      </c>
      <c r="F187" s="18"/>
      <c r="G187" s="18" t="s">
        <v>14</v>
      </c>
      <c r="H187" s="19" t="n">
        <v>43010.3900666088</v>
      </c>
      <c r="I187" s="20" t="n">
        <v>43010.3900666088</v>
      </c>
      <c r="J187" s="19" t="n">
        <v>43005.7084501042</v>
      </c>
      <c r="K187" s="20" t="n">
        <v>43005.7084501042</v>
      </c>
      <c r="L187" s="18" t="s">
        <v>15</v>
      </c>
      <c r="M187" s="18"/>
      <c r="N187" s="18"/>
      <c r="O187" s="18"/>
      <c r="P187" s="18" t="s">
        <v>46</v>
      </c>
    </row>
    <row collapsed="false" customFormat="false" customHeight="true" hidden="false" ht="25.5" outlineLevel="0" r="188">
      <c r="A188" s="18" t="s">
        <v>493</v>
      </c>
      <c r="B188" s="18" t="s">
        <v>296</v>
      </c>
      <c r="C188" s="18"/>
      <c r="D188" s="18" t="s">
        <v>494</v>
      </c>
      <c r="E188" s="18" t="s">
        <v>81</v>
      </c>
      <c r="F188" s="18"/>
      <c r="G188" s="18" t="s">
        <v>14</v>
      </c>
      <c r="H188" s="19" t="n">
        <v>43008.0850162153</v>
      </c>
      <c r="I188" s="20" t="n">
        <v>43008.0850162153</v>
      </c>
      <c r="J188" s="19" t="n">
        <v>43005.7259953125</v>
      </c>
      <c r="K188" s="20" t="n">
        <v>43005.7259953125</v>
      </c>
      <c r="L188" s="18" t="s">
        <v>15</v>
      </c>
      <c r="M188" s="18"/>
      <c r="N188" s="18"/>
      <c r="O188" s="18"/>
      <c r="P188" s="18" t="s">
        <v>58</v>
      </c>
    </row>
    <row collapsed="false" customFormat="false" customHeight="true" hidden="false" ht="25.5" outlineLevel="0" r="189">
      <c r="A189" s="18" t="s">
        <v>495</v>
      </c>
      <c r="B189" s="18" t="s">
        <v>310</v>
      </c>
      <c r="C189" s="18"/>
      <c r="D189" s="18" t="s">
        <v>54</v>
      </c>
      <c r="E189" s="18" t="s">
        <v>28</v>
      </c>
      <c r="F189" s="18"/>
      <c r="G189" s="18" t="s">
        <v>14</v>
      </c>
      <c r="H189" s="19" t="n">
        <v>43013.0850098843</v>
      </c>
      <c r="I189" s="20" t="n">
        <v>43013.0850098843</v>
      </c>
      <c r="J189" s="19" t="n">
        <v>43010.870635081</v>
      </c>
      <c r="K189" s="20" t="n">
        <v>43010.870635081</v>
      </c>
      <c r="L189" s="18" t="s">
        <v>15</v>
      </c>
      <c r="M189" s="18"/>
      <c r="N189" s="18"/>
      <c r="O189" s="18"/>
      <c r="P189" s="18" t="s">
        <v>16</v>
      </c>
    </row>
    <row collapsed="false" customFormat="false" customHeight="true" hidden="false" ht="25.5" outlineLevel="0" r="190">
      <c r="A190" s="18" t="s">
        <v>496</v>
      </c>
      <c r="B190" s="18" t="s">
        <v>497</v>
      </c>
      <c r="C190" s="18"/>
      <c r="D190" s="18" t="s">
        <v>54</v>
      </c>
      <c r="E190" s="18" t="s">
        <v>81</v>
      </c>
      <c r="F190" s="18"/>
      <c r="G190" s="18" t="s">
        <v>14</v>
      </c>
      <c r="H190" s="19" t="n">
        <v>43015.7503870486</v>
      </c>
      <c r="I190" s="20" t="n">
        <v>43015.7503870486</v>
      </c>
      <c r="J190" s="19" t="n">
        <v>43011.404281956</v>
      </c>
      <c r="K190" s="20" t="n">
        <v>43011.404281956</v>
      </c>
      <c r="L190" s="18" t="s">
        <v>15</v>
      </c>
      <c r="M190" s="18"/>
      <c r="N190" s="18"/>
      <c r="O190" s="18"/>
      <c r="P190" s="18" t="s">
        <v>58</v>
      </c>
    </row>
    <row collapsed="false" customFormat="false" customHeight="true" hidden="false" ht="25.5" outlineLevel="0" r="191">
      <c r="A191" s="18" t="s">
        <v>498</v>
      </c>
      <c r="B191" s="18" t="s">
        <v>499</v>
      </c>
      <c r="C191" s="18"/>
      <c r="D191" s="18" t="s">
        <v>500</v>
      </c>
      <c r="E191" s="18" t="s">
        <v>33</v>
      </c>
      <c r="F191" s="18"/>
      <c r="G191" s="18" t="s">
        <v>14</v>
      </c>
      <c r="H191" s="19" t="n">
        <v>43011.736687257</v>
      </c>
      <c r="I191" s="20" t="n">
        <v>43011.736687257</v>
      </c>
      <c r="J191" s="19" t="n">
        <v>43011.4171617593</v>
      </c>
      <c r="K191" s="20" t="n">
        <v>43011.4171617593</v>
      </c>
      <c r="L191" s="18" t="s">
        <v>15</v>
      </c>
      <c r="M191" s="18"/>
      <c r="N191" s="18"/>
      <c r="O191" s="18"/>
      <c r="P191" s="18" t="s">
        <v>58</v>
      </c>
    </row>
    <row collapsed="false" customFormat="false" customHeight="true" hidden="false" ht="25.5" outlineLevel="0" r="192">
      <c r="A192" s="18" t="s">
        <v>501</v>
      </c>
      <c r="B192" s="18" t="s">
        <v>300</v>
      </c>
      <c r="C192" s="18"/>
      <c r="D192" s="18" t="s">
        <v>125</v>
      </c>
      <c r="E192" s="18" t="s">
        <v>126</v>
      </c>
      <c r="F192" s="18"/>
      <c r="G192" s="18" t="s">
        <v>14</v>
      </c>
      <c r="H192" s="19" t="n">
        <v>43013.3337767824</v>
      </c>
      <c r="I192" s="20" t="n">
        <v>43013.3337767824</v>
      </c>
      <c r="J192" s="19" t="n">
        <v>43011.6593521296</v>
      </c>
      <c r="K192" s="20" t="n">
        <v>43011.6593521296</v>
      </c>
      <c r="L192" s="18" t="s">
        <v>15</v>
      </c>
      <c r="M192" s="18"/>
      <c r="N192" s="18"/>
      <c r="O192" s="18"/>
      <c r="P192" s="18" t="s">
        <v>16</v>
      </c>
    </row>
    <row collapsed="false" customFormat="false" customHeight="true" hidden="false" ht="25.5" outlineLevel="0" r="193">
      <c r="A193" s="18" t="s">
        <v>502</v>
      </c>
      <c r="B193" s="18" t="s">
        <v>427</v>
      </c>
      <c r="C193" s="18"/>
      <c r="D193" s="18" t="s">
        <v>140</v>
      </c>
      <c r="E193" s="18" t="s">
        <v>28</v>
      </c>
      <c r="F193" s="18"/>
      <c r="G193" s="18" t="s">
        <v>14</v>
      </c>
      <c r="H193" s="19" t="n">
        <v>43015.0852073727</v>
      </c>
      <c r="I193" s="20" t="n">
        <v>43015.0852073727</v>
      </c>
      <c r="J193" s="19" t="n">
        <v>43012.8498615509</v>
      </c>
      <c r="K193" s="20" t="n">
        <v>43012.8498615509</v>
      </c>
      <c r="L193" s="18" t="s">
        <v>15</v>
      </c>
      <c r="M193" s="18"/>
      <c r="N193" s="18"/>
      <c r="O193" s="18"/>
      <c r="P193" s="18" t="s">
        <v>16</v>
      </c>
    </row>
    <row collapsed="false" customFormat="false" customHeight="true" hidden="false" ht="25.5" outlineLevel="0" r="194">
      <c r="A194" s="18" t="s">
        <v>503</v>
      </c>
      <c r="B194" s="18" t="s">
        <v>504</v>
      </c>
      <c r="C194" s="18"/>
      <c r="D194" s="18" t="s">
        <v>505</v>
      </c>
      <c r="E194" s="18" t="s">
        <v>28</v>
      </c>
      <c r="F194" s="18"/>
      <c r="G194" s="18" t="s">
        <v>14</v>
      </c>
      <c r="H194" s="19" t="n">
        <v>43016.753568669</v>
      </c>
      <c r="I194" s="20" t="n">
        <v>43016.753568669</v>
      </c>
      <c r="J194" s="19" t="n">
        <v>43012.9352886574</v>
      </c>
      <c r="K194" s="20" t="n">
        <v>43012.9352886574</v>
      </c>
      <c r="L194" s="18" t="s">
        <v>15</v>
      </c>
      <c r="M194" s="18"/>
      <c r="N194" s="18"/>
      <c r="O194" s="18"/>
      <c r="P194" s="18" t="s">
        <v>16</v>
      </c>
    </row>
    <row collapsed="false" customFormat="false" customHeight="true" hidden="false" ht="25.5" outlineLevel="0" r="195">
      <c r="A195" s="18" t="s">
        <v>506</v>
      </c>
      <c r="B195" s="18" t="s">
        <v>478</v>
      </c>
      <c r="C195" s="18"/>
      <c r="D195" s="18" t="s">
        <v>479</v>
      </c>
      <c r="E195" s="18" t="s">
        <v>241</v>
      </c>
      <c r="F195" s="18"/>
      <c r="G195" s="18" t="s">
        <v>14</v>
      </c>
      <c r="H195" s="19" t="n">
        <v>43045.3889818519</v>
      </c>
      <c r="I195" s="20" t="n">
        <v>43045.3889818519</v>
      </c>
      <c r="J195" s="19" t="n">
        <v>43014.4006586343</v>
      </c>
      <c r="K195" s="20" t="n">
        <v>43014.4006586343</v>
      </c>
      <c r="L195" s="18" t="s">
        <v>15</v>
      </c>
      <c r="M195" s="18"/>
      <c r="N195" s="18"/>
      <c r="O195" s="18"/>
      <c r="P195" s="18" t="s">
        <v>46</v>
      </c>
    </row>
    <row collapsed="false" customFormat="false" customHeight="true" hidden="false" ht="25.5" outlineLevel="0" r="196">
      <c r="A196" s="18" t="s">
        <v>507</v>
      </c>
      <c r="B196" s="18" t="s">
        <v>508</v>
      </c>
      <c r="C196" s="18"/>
      <c r="D196" s="18" t="s">
        <v>154</v>
      </c>
      <c r="E196" s="18" t="s">
        <v>55</v>
      </c>
      <c r="F196" s="18"/>
      <c r="G196" s="18" t="s">
        <v>14</v>
      </c>
      <c r="H196" s="19" t="n">
        <v>43019.085445706</v>
      </c>
      <c r="I196" s="20" t="n">
        <v>43019.085445706</v>
      </c>
      <c r="J196" s="19" t="n">
        <v>43014.4646585185</v>
      </c>
      <c r="K196" s="20" t="n">
        <v>43014.4646585185</v>
      </c>
      <c r="L196" s="18" t="s">
        <v>15</v>
      </c>
      <c r="M196" s="18"/>
      <c r="N196" s="18"/>
      <c r="O196" s="18"/>
      <c r="P196" s="18" t="s">
        <v>46</v>
      </c>
    </row>
    <row collapsed="false" customFormat="false" customHeight="true" hidden="false" ht="25.5" outlineLevel="0" r="197">
      <c r="A197" s="18" t="s">
        <v>509</v>
      </c>
      <c r="B197" s="18" t="s">
        <v>510</v>
      </c>
      <c r="C197" s="18"/>
      <c r="D197" s="18" t="s">
        <v>511</v>
      </c>
      <c r="E197" s="18" t="s">
        <v>72</v>
      </c>
      <c r="F197" s="18"/>
      <c r="G197" s="18" t="s">
        <v>14</v>
      </c>
      <c r="H197" s="19" t="n">
        <v>43017.6978605671</v>
      </c>
      <c r="I197" s="20" t="n">
        <v>43017.6978605671</v>
      </c>
      <c r="J197" s="19" t="n">
        <v>43017.4056353009</v>
      </c>
      <c r="K197" s="20" t="n">
        <v>43017.4056353009</v>
      </c>
      <c r="L197" s="18" t="s">
        <v>15</v>
      </c>
      <c r="M197" s="18"/>
      <c r="N197" s="18"/>
      <c r="O197" s="18"/>
      <c r="P197" s="18" t="s">
        <v>46</v>
      </c>
    </row>
    <row collapsed="false" customFormat="false" customHeight="true" hidden="false" ht="25.5" outlineLevel="0" r="198">
      <c r="A198" s="18" t="s">
        <v>512</v>
      </c>
      <c r="B198" s="18" t="s">
        <v>513</v>
      </c>
      <c r="C198" s="18"/>
      <c r="D198" s="18" t="s">
        <v>514</v>
      </c>
      <c r="E198" s="18" t="s">
        <v>137</v>
      </c>
      <c r="F198" s="18"/>
      <c r="G198" s="18" t="s">
        <v>14</v>
      </c>
      <c r="H198" s="19" t="n">
        <v>43021.0847239236</v>
      </c>
      <c r="I198" s="20" t="n">
        <v>43021.0847239236</v>
      </c>
      <c r="J198" s="19" t="n">
        <v>43017.5513624884</v>
      </c>
      <c r="K198" s="20" t="n">
        <v>43017.5513624884</v>
      </c>
      <c r="L198" s="18" t="s">
        <v>15</v>
      </c>
      <c r="M198" s="18"/>
      <c r="N198" s="18"/>
      <c r="O198" s="18"/>
      <c r="P198" s="18" t="s">
        <v>46</v>
      </c>
    </row>
    <row collapsed="false" customFormat="false" customHeight="true" hidden="false" ht="25.5" outlineLevel="0" r="199">
      <c r="A199" s="18" t="s">
        <v>515</v>
      </c>
      <c r="B199" s="18" t="s">
        <v>516</v>
      </c>
      <c r="C199" s="18"/>
      <c r="D199" s="18" t="s">
        <v>517</v>
      </c>
      <c r="E199" s="18" t="s">
        <v>33</v>
      </c>
      <c r="F199" s="18"/>
      <c r="G199" s="18" t="s">
        <v>14</v>
      </c>
      <c r="H199" s="19" t="n">
        <v>43020.7816481829</v>
      </c>
      <c r="I199" s="20" t="n">
        <v>43020.7816481829</v>
      </c>
      <c r="J199" s="19" t="n">
        <v>43017.5810883102</v>
      </c>
      <c r="K199" s="20" t="n">
        <v>43017.5810883102</v>
      </c>
      <c r="L199" s="18" t="s">
        <v>15</v>
      </c>
      <c r="M199" s="18"/>
      <c r="N199" s="18"/>
      <c r="O199" s="18"/>
      <c r="P199" s="18" t="s">
        <v>46</v>
      </c>
    </row>
    <row collapsed="false" customFormat="false" customHeight="true" hidden="false" ht="25.5" outlineLevel="0" r="200">
      <c r="A200" s="18" t="s">
        <v>518</v>
      </c>
      <c r="B200" s="18" t="s">
        <v>519</v>
      </c>
      <c r="C200" s="18"/>
      <c r="D200" s="18" t="s">
        <v>520</v>
      </c>
      <c r="E200" s="18" t="s">
        <v>241</v>
      </c>
      <c r="F200" s="18"/>
      <c r="G200" s="18" t="s">
        <v>14</v>
      </c>
      <c r="H200" s="19" t="n">
        <v>43018.5198739583</v>
      </c>
      <c r="I200" s="20" t="n">
        <v>43018.5198739583</v>
      </c>
      <c r="J200" s="19" t="n">
        <v>43017.6672033681</v>
      </c>
      <c r="K200" s="20" t="n">
        <v>43017.6672033681</v>
      </c>
      <c r="L200" s="18" t="s">
        <v>15</v>
      </c>
      <c r="M200" s="18"/>
      <c r="N200" s="18"/>
      <c r="O200" s="18"/>
      <c r="P200" s="18" t="s">
        <v>46</v>
      </c>
    </row>
    <row collapsed="false" customFormat="false" customHeight="true" hidden="false" ht="25.5" outlineLevel="0" r="201">
      <c r="A201" s="18" t="s">
        <v>521</v>
      </c>
      <c r="B201" s="18" t="s">
        <v>522</v>
      </c>
      <c r="C201" s="18"/>
      <c r="D201" s="18" t="s">
        <v>240</v>
      </c>
      <c r="E201" s="18" t="s">
        <v>240</v>
      </c>
      <c r="F201" s="18"/>
      <c r="G201" s="18" t="s">
        <v>14</v>
      </c>
      <c r="H201" s="19" t="n">
        <v>43018.5259722338</v>
      </c>
      <c r="I201" s="20" t="n">
        <v>43018.5259722338</v>
      </c>
      <c r="J201" s="19" t="n">
        <v>43017.7440045486</v>
      </c>
      <c r="K201" s="20" t="n">
        <v>43017.7440045486</v>
      </c>
      <c r="L201" s="18" t="s">
        <v>15</v>
      </c>
      <c r="M201" s="18"/>
      <c r="N201" s="18"/>
      <c r="O201" s="18"/>
      <c r="P201" s="18" t="s">
        <v>58</v>
      </c>
    </row>
    <row collapsed="false" customFormat="false" customHeight="true" hidden="false" ht="25.5" outlineLevel="0" r="202">
      <c r="A202" s="18" t="s">
        <v>523</v>
      </c>
      <c r="B202" s="18" t="s">
        <v>296</v>
      </c>
      <c r="C202" s="18"/>
      <c r="D202" s="18" t="s">
        <v>524</v>
      </c>
      <c r="E202" s="18" t="s">
        <v>81</v>
      </c>
      <c r="F202" s="18"/>
      <c r="G202" s="18" t="s">
        <v>85</v>
      </c>
      <c r="H202" s="19" t="n">
        <v>43020.5097277199</v>
      </c>
      <c r="I202" s="20" t="n">
        <v>43020.5097277199</v>
      </c>
      <c r="J202" s="19" t="n">
        <v>43018.6365006713</v>
      </c>
      <c r="K202" s="20" t="n">
        <v>43018.6365006713</v>
      </c>
      <c r="L202" s="18" t="s">
        <v>15</v>
      </c>
      <c r="M202" s="18"/>
      <c r="N202" s="18"/>
      <c r="O202" s="18"/>
      <c r="P202" s="18" t="s">
        <v>46</v>
      </c>
    </row>
    <row collapsed="false" customFormat="false" customHeight="true" hidden="false" ht="25.5" outlineLevel="0" r="203">
      <c r="A203" s="18" t="s">
        <v>525</v>
      </c>
      <c r="B203" s="18" t="s">
        <v>296</v>
      </c>
      <c r="C203" s="18"/>
      <c r="D203" s="18" t="s">
        <v>524</v>
      </c>
      <c r="E203" s="18" t="s">
        <v>81</v>
      </c>
      <c r="F203" s="18"/>
      <c r="G203" s="18" t="s">
        <v>14</v>
      </c>
      <c r="H203" s="19" t="n">
        <v>43020.6028311111</v>
      </c>
      <c r="I203" s="20" t="n">
        <v>43020.6028311111</v>
      </c>
      <c r="J203" s="19" t="n">
        <v>43018.6421514236</v>
      </c>
      <c r="K203" s="20" t="n">
        <v>43018.6421514236</v>
      </c>
      <c r="L203" s="18" t="s">
        <v>15</v>
      </c>
      <c r="M203" s="18"/>
      <c r="N203" s="18"/>
      <c r="O203" s="18"/>
      <c r="P203" s="18" t="s">
        <v>16</v>
      </c>
    </row>
    <row collapsed="false" customFormat="false" customHeight="true" hidden="false" ht="25.5" outlineLevel="0" r="204">
      <c r="A204" s="18" t="s">
        <v>526</v>
      </c>
      <c r="B204" s="18" t="s">
        <v>527</v>
      </c>
      <c r="C204" s="18"/>
      <c r="D204" s="18" t="s">
        <v>528</v>
      </c>
      <c r="E204" s="18" t="s">
        <v>81</v>
      </c>
      <c r="F204" s="18"/>
      <c r="G204" s="18" t="s">
        <v>14</v>
      </c>
      <c r="H204" s="19" t="n">
        <v>43021.3896685069</v>
      </c>
      <c r="I204" s="20" t="n">
        <v>43021.3896685069</v>
      </c>
      <c r="J204" s="19" t="n">
        <v>43019.6868238773</v>
      </c>
      <c r="K204" s="20" t="n">
        <v>43019.6868238773</v>
      </c>
      <c r="L204" s="18" t="s">
        <v>15</v>
      </c>
      <c r="M204" s="18"/>
      <c r="N204" s="18"/>
      <c r="O204" s="18"/>
      <c r="P204" s="18" t="s">
        <v>46</v>
      </c>
    </row>
    <row collapsed="false" customFormat="false" customHeight="true" hidden="false" ht="25.5" outlineLevel="0" r="205">
      <c r="A205" s="18" t="s">
        <v>529</v>
      </c>
      <c r="B205" s="18" t="s">
        <v>530</v>
      </c>
      <c r="C205" s="18"/>
      <c r="D205" s="18" t="s">
        <v>392</v>
      </c>
      <c r="E205" s="18" t="s">
        <v>55</v>
      </c>
      <c r="F205" s="18"/>
      <c r="G205" s="18" t="s">
        <v>14</v>
      </c>
      <c r="H205" s="19" t="n">
        <v>43028.395286794</v>
      </c>
      <c r="I205" s="20" t="n">
        <v>43028.395286794</v>
      </c>
      <c r="J205" s="19" t="n">
        <v>43020.5494577083</v>
      </c>
      <c r="K205" s="20" t="n">
        <v>43020.5494577083</v>
      </c>
      <c r="L205" s="18" t="s">
        <v>15</v>
      </c>
      <c r="M205" s="18"/>
      <c r="N205" s="18"/>
      <c r="O205" s="18"/>
      <c r="P205" s="18" t="s">
        <v>16</v>
      </c>
    </row>
    <row collapsed="false" customFormat="false" customHeight="true" hidden="false" ht="25.5" outlineLevel="0" r="206">
      <c r="A206" s="18" t="s">
        <v>531</v>
      </c>
      <c r="B206" s="18" t="s">
        <v>532</v>
      </c>
      <c r="C206" s="18"/>
      <c r="D206" s="18" t="s">
        <v>461</v>
      </c>
      <c r="E206" s="18" t="s">
        <v>28</v>
      </c>
      <c r="F206" s="18"/>
      <c r="G206" s="18" t="s">
        <v>14</v>
      </c>
      <c r="H206" s="19" t="n">
        <v>43024.7076723148</v>
      </c>
      <c r="I206" s="20" t="n">
        <v>43024.7076723148</v>
      </c>
      <c r="J206" s="19" t="n">
        <v>43020.8716307755</v>
      </c>
      <c r="K206" s="20" t="n">
        <v>43020.8716307755</v>
      </c>
      <c r="L206" s="18" t="s">
        <v>15</v>
      </c>
      <c r="M206" s="18"/>
      <c r="N206" s="18"/>
      <c r="O206" s="18"/>
      <c r="P206" s="18" t="s">
        <v>16</v>
      </c>
    </row>
    <row collapsed="false" customFormat="false" customHeight="true" hidden="false" ht="25.5" outlineLevel="0" r="207">
      <c r="A207" s="18" t="s">
        <v>533</v>
      </c>
      <c r="B207" s="18" t="s">
        <v>534</v>
      </c>
      <c r="C207" s="18"/>
      <c r="D207" s="18" t="s">
        <v>61</v>
      </c>
      <c r="E207" s="18" t="s">
        <v>28</v>
      </c>
      <c r="F207" s="18"/>
      <c r="G207" s="18" t="s">
        <v>14</v>
      </c>
      <c r="H207" s="19" t="n">
        <v>43023.7504415046</v>
      </c>
      <c r="I207" s="20" t="n">
        <v>43023.7504415046</v>
      </c>
      <c r="J207" s="19" t="n">
        <v>43020.9045921181</v>
      </c>
      <c r="K207" s="20" t="n">
        <v>43020.9045921181</v>
      </c>
      <c r="L207" s="18" t="s">
        <v>15</v>
      </c>
      <c r="M207" s="18"/>
      <c r="N207" s="18"/>
      <c r="O207" s="18"/>
      <c r="P207" s="18" t="s">
        <v>16</v>
      </c>
    </row>
    <row collapsed="false" customFormat="false" customHeight="true" hidden="false" ht="25.5" outlineLevel="0" r="208">
      <c r="A208" s="18" t="s">
        <v>535</v>
      </c>
      <c r="B208" s="18" t="s">
        <v>536</v>
      </c>
      <c r="C208" s="18"/>
      <c r="D208" s="18" t="s">
        <v>537</v>
      </c>
      <c r="E208" s="18" t="s">
        <v>41</v>
      </c>
      <c r="F208" s="18"/>
      <c r="G208" s="18" t="s">
        <v>14</v>
      </c>
      <c r="H208" s="19" t="n">
        <v>43026.6192325231</v>
      </c>
      <c r="I208" s="20" t="n">
        <v>43026.6192325231</v>
      </c>
      <c r="J208" s="19" t="n">
        <v>43024.7030344792</v>
      </c>
      <c r="K208" s="20" t="n">
        <v>43024.7030344792</v>
      </c>
      <c r="L208" s="18" t="s">
        <v>15</v>
      </c>
      <c r="M208" s="18"/>
      <c r="N208" s="18"/>
      <c r="O208" s="18"/>
      <c r="P208" s="18" t="s">
        <v>46</v>
      </c>
    </row>
    <row collapsed="false" customFormat="false" customHeight="true" hidden="false" ht="25.5" outlineLevel="0" r="209">
      <c r="A209" s="18" t="s">
        <v>538</v>
      </c>
      <c r="B209" s="18" t="s">
        <v>539</v>
      </c>
      <c r="C209" s="18"/>
      <c r="D209" s="18" t="s">
        <v>540</v>
      </c>
      <c r="E209" s="18" t="s">
        <v>72</v>
      </c>
      <c r="F209" s="18"/>
      <c r="G209" s="18" t="s">
        <v>14</v>
      </c>
      <c r="H209" s="19" t="n">
        <v>43030.8754518056</v>
      </c>
      <c r="I209" s="20" t="n">
        <v>43030.8754518056</v>
      </c>
      <c r="J209" s="19" t="n">
        <v>43025.4584483796</v>
      </c>
      <c r="K209" s="20" t="n">
        <v>43025.4584483796</v>
      </c>
      <c r="L209" s="18" t="s">
        <v>15</v>
      </c>
      <c r="M209" s="18"/>
      <c r="N209" s="18"/>
      <c r="O209" s="18"/>
      <c r="P209" s="18" t="s">
        <v>46</v>
      </c>
    </row>
    <row collapsed="false" customFormat="false" customHeight="true" hidden="false" ht="25.5" outlineLevel="0" r="210">
      <c r="A210" s="18" t="s">
        <v>541</v>
      </c>
      <c r="B210" s="18" t="s">
        <v>542</v>
      </c>
      <c r="C210" s="18"/>
      <c r="D210" s="18" t="s">
        <v>154</v>
      </c>
      <c r="E210" s="18" t="s">
        <v>81</v>
      </c>
      <c r="F210" s="18"/>
      <c r="G210" s="18" t="s">
        <v>14</v>
      </c>
      <c r="H210" s="19" t="n">
        <v>43029.0848455093</v>
      </c>
      <c r="I210" s="20" t="n">
        <v>43029.0848455093</v>
      </c>
      <c r="J210" s="19" t="n">
        <v>43025.6830516435</v>
      </c>
      <c r="K210" s="20" t="n">
        <v>43025.6830516435</v>
      </c>
      <c r="L210" s="18" t="s">
        <v>15</v>
      </c>
      <c r="M210" s="18"/>
      <c r="N210" s="18"/>
      <c r="O210" s="18"/>
      <c r="P210" s="18" t="s">
        <v>46</v>
      </c>
    </row>
    <row collapsed="false" customFormat="false" customHeight="true" hidden="false" ht="25.5" outlineLevel="0" r="211">
      <c r="A211" s="18" t="s">
        <v>543</v>
      </c>
      <c r="B211" s="18" t="s">
        <v>544</v>
      </c>
      <c r="C211" s="18"/>
      <c r="D211" s="18" t="s">
        <v>61</v>
      </c>
      <c r="E211" s="18" t="s">
        <v>81</v>
      </c>
      <c r="F211" s="18"/>
      <c r="G211" s="18" t="s">
        <v>14</v>
      </c>
      <c r="H211" s="19" t="n">
        <v>43026.6809809491</v>
      </c>
      <c r="I211" s="20" t="n">
        <v>43026.6809809491</v>
      </c>
      <c r="J211" s="19" t="n">
        <v>43026.5396189468</v>
      </c>
      <c r="K211" s="20" t="n">
        <v>43026.5396189468</v>
      </c>
      <c r="L211" s="18" t="s">
        <v>15</v>
      </c>
      <c r="M211" s="18"/>
      <c r="N211" s="18"/>
      <c r="O211" s="18"/>
      <c r="P211" s="18" t="s">
        <v>46</v>
      </c>
    </row>
    <row collapsed="false" customFormat="false" customHeight="true" hidden="false" ht="25.5" outlineLevel="0" r="212">
      <c r="A212" s="18" t="s">
        <v>545</v>
      </c>
      <c r="B212" s="18" t="s">
        <v>546</v>
      </c>
      <c r="C212" s="18"/>
      <c r="D212" s="18" t="s">
        <v>61</v>
      </c>
      <c r="E212" s="18" t="s">
        <v>50</v>
      </c>
      <c r="F212" s="18"/>
      <c r="G212" s="18" t="s">
        <v>14</v>
      </c>
      <c r="H212" s="19" t="n">
        <v>43028.4503167593</v>
      </c>
      <c r="I212" s="20" t="n">
        <v>43028.4503167593</v>
      </c>
      <c r="J212" s="19" t="n">
        <v>43027.2996457986</v>
      </c>
      <c r="K212" s="20" t="n">
        <v>43027.2996457986</v>
      </c>
      <c r="L212" s="18" t="s">
        <v>15</v>
      </c>
      <c r="M212" s="18"/>
      <c r="N212" s="18"/>
      <c r="O212" s="18"/>
      <c r="P212" s="18" t="s">
        <v>46</v>
      </c>
    </row>
    <row collapsed="false" customFormat="false" customHeight="true" hidden="false" ht="25.5" outlineLevel="0" r="213">
      <c r="A213" s="18" t="s">
        <v>547</v>
      </c>
      <c r="B213" s="18" t="s">
        <v>548</v>
      </c>
      <c r="C213" s="18"/>
      <c r="D213" s="18" t="s">
        <v>61</v>
      </c>
      <c r="E213" s="18" t="s">
        <v>50</v>
      </c>
      <c r="F213" s="18"/>
      <c r="G213" s="18" t="s">
        <v>14</v>
      </c>
      <c r="H213" s="19" t="n">
        <v>43028.445496412</v>
      </c>
      <c r="I213" s="20" t="n">
        <v>43028.445496412</v>
      </c>
      <c r="J213" s="19" t="n">
        <v>43027.3017589815</v>
      </c>
      <c r="K213" s="20" t="n">
        <v>43027.3017589815</v>
      </c>
      <c r="L213" s="18" t="s">
        <v>15</v>
      </c>
      <c r="M213" s="18"/>
      <c r="N213" s="18"/>
      <c r="O213" s="18"/>
      <c r="P213" s="18" t="s">
        <v>46</v>
      </c>
    </row>
    <row collapsed="false" customFormat="false" customHeight="true" hidden="false" ht="25.5" outlineLevel="0" r="214">
      <c r="A214" s="18" t="s">
        <v>549</v>
      </c>
      <c r="B214" s="18" t="s">
        <v>550</v>
      </c>
      <c r="C214" s="18"/>
      <c r="D214" s="18" t="s">
        <v>154</v>
      </c>
      <c r="E214" s="18" t="s">
        <v>55</v>
      </c>
      <c r="F214" s="18"/>
      <c r="G214" s="18" t="s">
        <v>14</v>
      </c>
      <c r="H214" s="19" t="n">
        <v>43030.8338030556</v>
      </c>
      <c r="I214" s="20" t="n">
        <v>43030.8338030556</v>
      </c>
      <c r="J214" s="19" t="n">
        <v>43027.5581561574</v>
      </c>
      <c r="K214" s="20" t="n">
        <v>43027.5581561574</v>
      </c>
      <c r="L214" s="18" t="s">
        <v>15</v>
      </c>
      <c r="M214" s="18"/>
      <c r="N214" s="18"/>
      <c r="O214" s="18"/>
      <c r="P214" s="18" t="s">
        <v>46</v>
      </c>
    </row>
    <row collapsed="false" customFormat="false" customHeight="true" hidden="false" ht="25.5" outlineLevel="0" r="215">
      <c r="A215" s="18" t="s">
        <v>551</v>
      </c>
      <c r="B215" s="18" t="s">
        <v>552</v>
      </c>
      <c r="C215" s="18"/>
      <c r="D215" s="18" t="s">
        <v>553</v>
      </c>
      <c r="E215" s="18" t="s">
        <v>41</v>
      </c>
      <c r="F215" s="18"/>
      <c r="G215" s="18" t="s">
        <v>14</v>
      </c>
      <c r="H215" s="19" t="n">
        <v>43034.2504728357</v>
      </c>
      <c r="I215" s="20" t="n">
        <v>43034.2504728357</v>
      </c>
      <c r="J215" s="19" t="n">
        <v>43027.7595575694</v>
      </c>
      <c r="K215" s="20" t="n">
        <v>43027.7595575694</v>
      </c>
      <c r="L215" s="18" t="s">
        <v>15</v>
      </c>
      <c r="M215" s="18"/>
      <c r="N215" s="18"/>
      <c r="O215" s="18"/>
      <c r="P215" s="18" t="s">
        <v>46</v>
      </c>
    </row>
    <row collapsed="false" customFormat="false" customHeight="true" hidden="false" ht="25.5" outlineLevel="0" r="216">
      <c r="A216" s="18" t="s">
        <v>554</v>
      </c>
      <c r="B216" s="18" t="s">
        <v>555</v>
      </c>
      <c r="C216" s="18"/>
      <c r="D216" s="18" t="s">
        <v>556</v>
      </c>
      <c r="E216" s="18" t="s">
        <v>37</v>
      </c>
      <c r="F216" s="18"/>
      <c r="G216" s="18" t="s">
        <v>14</v>
      </c>
      <c r="H216" s="19" t="n">
        <v>43034.6684016782</v>
      </c>
      <c r="I216" s="20" t="n">
        <v>43034.6684016782</v>
      </c>
      <c r="J216" s="19" t="n">
        <v>43031.4904257176</v>
      </c>
      <c r="K216" s="20" t="n">
        <v>43031.4904257176</v>
      </c>
      <c r="L216" s="18" t="s">
        <v>15</v>
      </c>
      <c r="M216" s="18"/>
      <c r="N216" s="18"/>
      <c r="O216" s="18"/>
      <c r="P216" s="18" t="s">
        <v>16</v>
      </c>
    </row>
    <row collapsed="false" customFormat="false" customHeight="true" hidden="false" ht="25.5" outlineLevel="0" r="217">
      <c r="A217" s="18" t="s">
        <v>557</v>
      </c>
      <c r="B217" s="18" t="s">
        <v>296</v>
      </c>
      <c r="C217" s="18"/>
      <c r="D217" s="18" t="s">
        <v>61</v>
      </c>
      <c r="E217" s="18" t="s">
        <v>81</v>
      </c>
      <c r="F217" s="18"/>
      <c r="G217" s="18" t="s">
        <v>14</v>
      </c>
      <c r="H217" s="19" t="n">
        <v>43033.3815409954</v>
      </c>
      <c r="I217" s="20" t="n">
        <v>43033.3815409954</v>
      </c>
      <c r="J217" s="19" t="n">
        <v>43032.5014328009</v>
      </c>
      <c r="K217" s="20" t="n">
        <v>43032.5014328009</v>
      </c>
      <c r="L217" s="18" t="s">
        <v>15</v>
      </c>
      <c r="M217" s="18"/>
      <c r="N217" s="18"/>
      <c r="O217" s="18"/>
      <c r="P217" s="18" t="s">
        <v>46</v>
      </c>
    </row>
    <row collapsed="false" customFormat="false" customHeight="true" hidden="false" ht="25.5" outlineLevel="0" r="218">
      <c r="A218" s="18" t="s">
        <v>558</v>
      </c>
      <c r="B218" s="18" t="s">
        <v>403</v>
      </c>
      <c r="C218" s="18"/>
      <c r="D218" s="18" t="s">
        <v>559</v>
      </c>
      <c r="E218" s="18" t="s">
        <v>175</v>
      </c>
      <c r="F218" s="18"/>
      <c r="G218" s="18" t="s">
        <v>14</v>
      </c>
      <c r="H218" s="19" t="n">
        <v>43041.0841654051</v>
      </c>
      <c r="I218" s="20" t="n">
        <v>43041.0841654051</v>
      </c>
      <c r="J218" s="19" t="n">
        <v>43032.7095283102</v>
      </c>
      <c r="K218" s="20" t="n">
        <v>43032.7095283102</v>
      </c>
      <c r="L218" s="18" t="s">
        <v>15</v>
      </c>
      <c r="M218" s="18"/>
      <c r="N218" s="18"/>
      <c r="O218" s="18"/>
      <c r="P218" s="18" t="s">
        <v>16</v>
      </c>
    </row>
    <row collapsed="false" customFormat="false" customHeight="true" hidden="false" ht="25.5" outlineLevel="0" r="219">
      <c r="A219" s="18" t="s">
        <v>560</v>
      </c>
      <c r="B219" s="18" t="s">
        <v>561</v>
      </c>
      <c r="C219" s="18"/>
      <c r="D219" s="18" t="s">
        <v>562</v>
      </c>
      <c r="E219" s="18" t="s">
        <v>41</v>
      </c>
      <c r="F219" s="18"/>
      <c r="G219" s="18" t="s">
        <v>14</v>
      </c>
      <c r="H219" s="19" t="n">
        <v>43038.2505013194</v>
      </c>
      <c r="I219" s="20" t="n">
        <v>43038.2505013194</v>
      </c>
      <c r="J219" s="19" t="n">
        <v>43034.8892994907</v>
      </c>
      <c r="K219" s="20" t="n">
        <v>43034.8892994907</v>
      </c>
      <c r="L219" s="18" t="s">
        <v>15</v>
      </c>
      <c r="M219" s="18"/>
      <c r="N219" s="18"/>
      <c r="O219" s="18"/>
      <c r="P219" s="18" t="s">
        <v>46</v>
      </c>
    </row>
    <row collapsed="false" customFormat="false" customHeight="true" hidden="false" ht="25.5" outlineLevel="0" r="220">
      <c r="A220" s="18" t="s">
        <v>563</v>
      </c>
      <c r="B220" s="18" t="s">
        <v>564</v>
      </c>
      <c r="C220" s="18"/>
      <c r="D220" s="18" t="s">
        <v>61</v>
      </c>
      <c r="E220" s="18" t="s">
        <v>28</v>
      </c>
      <c r="F220" s="18"/>
      <c r="G220" s="18" t="s">
        <v>14</v>
      </c>
      <c r="H220" s="19" t="n">
        <v>43040.459734838</v>
      </c>
      <c r="I220" s="20" t="n">
        <v>43040.459734838</v>
      </c>
      <c r="J220" s="19" t="n">
        <v>43039.8289149769</v>
      </c>
      <c r="K220" s="20" t="n">
        <v>43039.8289149769</v>
      </c>
      <c r="L220" s="18" t="s">
        <v>15</v>
      </c>
      <c r="M220" s="18"/>
      <c r="N220" s="18"/>
      <c r="O220" s="18"/>
      <c r="P220" s="18" t="s">
        <v>46</v>
      </c>
    </row>
    <row collapsed="false" customFormat="false" customHeight="true" hidden="false" ht="25.5" outlineLevel="0" r="221">
      <c r="A221" s="18" t="s">
        <v>565</v>
      </c>
      <c r="B221" s="18" t="s">
        <v>300</v>
      </c>
      <c r="C221" s="18"/>
      <c r="D221" s="18" t="s">
        <v>125</v>
      </c>
      <c r="E221" s="18" t="s">
        <v>126</v>
      </c>
      <c r="F221" s="18"/>
      <c r="G221" s="18" t="s">
        <v>14</v>
      </c>
      <c r="H221" s="19" t="n">
        <v>43043.0846012963</v>
      </c>
      <c r="I221" s="20" t="n">
        <v>43043.0846012963</v>
      </c>
      <c r="J221" s="19" t="n">
        <v>43040.5168396412</v>
      </c>
      <c r="K221" s="20" t="n">
        <v>43040.5168396412</v>
      </c>
      <c r="L221" s="18" t="s">
        <v>15</v>
      </c>
      <c r="M221" s="18"/>
      <c r="N221" s="18"/>
      <c r="O221" s="18"/>
      <c r="P221" s="18" t="s">
        <v>16</v>
      </c>
    </row>
    <row collapsed="false" customFormat="false" customHeight="true" hidden="false" ht="25.5" outlineLevel="0" r="222">
      <c r="A222" s="18" t="s">
        <v>566</v>
      </c>
      <c r="B222" s="18" t="s">
        <v>271</v>
      </c>
      <c r="C222" s="18"/>
      <c r="D222" s="18" t="s">
        <v>140</v>
      </c>
      <c r="E222" s="18" t="s">
        <v>28</v>
      </c>
      <c r="F222" s="18"/>
      <c r="G222" s="18" t="s">
        <v>14</v>
      </c>
      <c r="H222" s="19" t="n">
        <v>43047.1262430787</v>
      </c>
      <c r="I222" s="20" t="n">
        <v>43047.1262430787</v>
      </c>
      <c r="J222" s="19" t="n">
        <v>43040.8352253935</v>
      </c>
      <c r="K222" s="20" t="n">
        <v>43040.8352253935</v>
      </c>
      <c r="L222" s="18" t="s">
        <v>15</v>
      </c>
      <c r="M222" s="18"/>
      <c r="N222" s="18"/>
      <c r="O222" s="18"/>
      <c r="P222" s="18" t="s">
        <v>16</v>
      </c>
    </row>
    <row collapsed="false" customFormat="false" customHeight="true" hidden="false" ht="25.5" outlineLevel="0" r="223">
      <c r="A223" s="18" t="s">
        <v>567</v>
      </c>
      <c r="B223" s="18" t="s">
        <v>568</v>
      </c>
      <c r="C223" s="18"/>
      <c r="D223" s="18" t="s">
        <v>569</v>
      </c>
      <c r="E223" s="18" t="s">
        <v>33</v>
      </c>
      <c r="F223" s="18"/>
      <c r="G223" s="18" t="s">
        <v>14</v>
      </c>
      <c r="H223" s="19" t="n">
        <v>43044.7088872685</v>
      </c>
      <c r="I223" s="20" t="n">
        <v>43044.7088872685</v>
      </c>
      <c r="J223" s="19" t="n">
        <v>43041.5396740741</v>
      </c>
      <c r="K223" s="20" t="n">
        <v>43041.5396740741</v>
      </c>
      <c r="L223" s="18" t="s">
        <v>15</v>
      </c>
      <c r="M223" s="18"/>
      <c r="N223" s="18"/>
      <c r="O223" s="18"/>
      <c r="P223" s="18" t="s">
        <v>46</v>
      </c>
    </row>
    <row collapsed="false" customFormat="false" customHeight="true" hidden="false" ht="25.5" outlineLevel="0" r="224">
      <c r="A224" s="18" t="s">
        <v>570</v>
      </c>
      <c r="B224" s="18" t="s">
        <v>571</v>
      </c>
      <c r="C224" s="18"/>
      <c r="D224" s="18" t="s">
        <v>572</v>
      </c>
      <c r="E224" s="18" t="s">
        <v>28</v>
      </c>
      <c r="F224" s="18"/>
      <c r="G224" s="18" t="s">
        <v>14</v>
      </c>
      <c r="H224" s="19" t="n">
        <v>43045.5422112037</v>
      </c>
      <c r="I224" s="20" t="n">
        <v>43045.5422112037</v>
      </c>
      <c r="J224" s="19" t="n">
        <v>43041.7207605903</v>
      </c>
      <c r="K224" s="20" t="n">
        <v>43041.7207605903</v>
      </c>
      <c r="L224" s="18" t="s">
        <v>15</v>
      </c>
      <c r="M224" s="18"/>
      <c r="N224" s="18"/>
      <c r="O224" s="18"/>
      <c r="P224" s="18" t="s">
        <v>46</v>
      </c>
    </row>
    <row collapsed="false" customFormat="false" customHeight="true" hidden="false" ht="25.5" outlineLevel="0" r="225">
      <c r="A225" s="18" t="s">
        <v>573</v>
      </c>
      <c r="B225" s="18" t="s">
        <v>310</v>
      </c>
      <c r="C225" s="18"/>
      <c r="D225" s="18" t="s">
        <v>54</v>
      </c>
      <c r="E225" s="18" t="s">
        <v>28</v>
      </c>
      <c r="F225" s="18"/>
      <c r="G225" s="18" t="s">
        <v>14</v>
      </c>
      <c r="H225" s="19" t="n">
        <v>43047.1264072917</v>
      </c>
      <c r="I225" s="20" t="n">
        <v>43047.1264072917</v>
      </c>
      <c r="J225" s="19" t="n">
        <v>43041.7937567477</v>
      </c>
      <c r="K225" s="20" t="n">
        <v>43041.7937567477</v>
      </c>
      <c r="L225" s="18" t="s">
        <v>15</v>
      </c>
      <c r="M225" s="18"/>
      <c r="N225" s="18"/>
      <c r="O225" s="18"/>
      <c r="P225" s="18" t="s">
        <v>16</v>
      </c>
    </row>
    <row collapsed="false" customFormat="false" customHeight="true" hidden="false" ht="25.5" outlineLevel="0" r="226">
      <c r="A226" s="18" t="s">
        <v>574</v>
      </c>
      <c r="B226" s="18" t="s">
        <v>575</v>
      </c>
      <c r="C226" s="18"/>
      <c r="D226" s="18" t="s">
        <v>61</v>
      </c>
      <c r="E226" s="18" t="s">
        <v>28</v>
      </c>
      <c r="F226" s="18"/>
      <c r="G226" s="18" t="s">
        <v>14</v>
      </c>
      <c r="H226" s="19" t="n">
        <v>43045.5422149306</v>
      </c>
      <c r="I226" s="20" t="n">
        <v>43045.5422149306</v>
      </c>
      <c r="J226" s="19" t="n">
        <v>43041.8592275116</v>
      </c>
      <c r="K226" s="20" t="n">
        <v>43041.8592275116</v>
      </c>
      <c r="L226" s="18" t="s">
        <v>15</v>
      </c>
      <c r="M226" s="18"/>
      <c r="N226" s="18"/>
      <c r="O226" s="18"/>
      <c r="P226" s="18" t="s">
        <v>46</v>
      </c>
    </row>
    <row collapsed="false" customFormat="false" customHeight="true" hidden="false" ht="25.5" outlineLevel="0" r="227">
      <c r="A227" s="18" t="s">
        <v>576</v>
      </c>
      <c r="B227" s="18" t="s">
        <v>577</v>
      </c>
      <c r="C227" s="18"/>
      <c r="D227" s="18" t="s">
        <v>58</v>
      </c>
      <c r="E227" s="18" t="s">
        <v>81</v>
      </c>
      <c r="F227" s="18"/>
      <c r="G227" s="18" t="s">
        <v>14</v>
      </c>
      <c r="H227" s="19" t="n">
        <v>43047.2089384028</v>
      </c>
      <c r="I227" s="20" t="n">
        <v>43047.2089384028</v>
      </c>
      <c r="J227" s="19" t="n">
        <v>43045.6399471065</v>
      </c>
      <c r="K227" s="20" t="n">
        <v>43045.6399471065</v>
      </c>
      <c r="L227" s="18" t="s">
        <v>15</v>
      </c>
      <c r="M227" s="18"/>
      <c r="N227" s="18"/>
      <c r="O227" s="18"/>
      <c r="P227" s="18" t="s">
        <v>58</v>
      </c>
    </row>
    <row collapsed="false" customFormat="false" customHeight="true" hidden="false" ht="25.5" outlineLevel="0" r="228">
      <c r="A228" s="18" t="s">
        <v>578</v>
      </c>
      <c r="B228" s="18" t="s">
        <v>579</v>
      </c>
      <c r="C228" s="18"/>
      <c r="D228" s="18" t="s">
        <v>580</v>
      </c>
      <c r="E228" s="18" t="s">
        <v>28</v>
      </c>
      <c r="F228" s="18"/>
      <c r="G228" s="18" t="s">
        <v>14</v>
      </c>
      <c r="H228" s="19" t="n">
        <v>43048.1266607755</v>
      </c>
      <c r="I228" s="20" t="n">
        <v>43048.1266607755</v>
      </c>
      <c r="J228" s="19" t="n">
        <v>43045.7353090509</v>
      </c>
      <c r="K228" s="20" t="n">
        <v>43045.7353090509</v>
      </c>
      <c r="L228" s="18" t="s">
        <v>15</v>
      </c>
      <c r="M228" s="18"/>
      <c r="N228" s="18"/>
      <c r="O228" s="18"/>
      <c r="P228" s="18" t="s">
        <v>16</v>
      </c>
    </row>
    <row collapsed="false" customFormat="false" customHeight="true" hidden="false" ht="25.5" outlineLevel="0" r="229">
      <c r="A229" s="18" t="s">
        <v>581</v>
      </c>
      <c r="B229" s="18" t="s">
        <v>582</v>
      </c>
      <c r="C229" s="18"/>
      <c r="D229" s="18" t="s">
        <v>61</v>
      </c>
      <c r="E229" s="18" t="s">
        <v>72</v>
      </c>
      <c r="F229" s="18"/>
      <c r="G229" s="18" t="s">
        <v>14</v>
      </c>
      <c r="H229" s="19" t="n">
        <v>43049.1266979282</v>
      </c>
      <c r="I229" s="20" t="n">
        <v>43049.1266979282</v>
      </c>
      <c r="J229" s="19" t="n">
        <v>43046.6503018287</v>
      </c>
      <c r="K229" s="20" t="n">
        <v>43046.6503018287</v>
      </c>
      <c r="L229" s="18" t="s">
        <v>15</v>
      </c>
      <c r="M229" s="18"/>
      <c r="N229" s="18"/>
      <c r="O229" s="18"/>
      <c r="P229" s="18" t="s">
        <v>16</v>
      </c>
    </row>
    <row collapsed="false" customFormat="false" customHeight="true" hidden="false" ht="25.5" outlineLevel="0" r="230">
      <c r="A230" s="18" t="s">
        <v>583</v>
      </c>
      <c r="B230" s="18" t="s">
        <v>300</v>
      </c>
      <c r="C230" s="18"/>
      <c r="D230" s="18" t="s">
        <v>125</v>
      </c>
      <c r="E230" s="18" t="s">
        <v>126</v>
      </c>
      <c r="F230" s="18"/>
      <c r="G230" s="18" t="s">
        <v>14</v>
      </c>
      <c r="H230" s="19" t="n">
        <v>43051.7089090509</v>
      </c>
      <c r="I230" s="20" t="n">
        <v>43051.7089090509</v>
      </c>
      <c r="J230" s="19" t="n">
        <v>43047.4163806713</v>
      </c>
      <c r="K230" s="20" t="n">
        <v>43047.4163806713</v>
      </c>
      <c r="L230" s="18" t="s">
        <v>15</v>
      </c>
      <c r="M230" s="18"/>
      <c r="N230" s="18"/>
      <c r="O230" s="18"/>
      <c r="P230" s="18" t="s">
        <v>16</v>
      </c>
    </row>
    <row collapsed="false" customFormat="false" customHeight="true" hidden="false" ht="25.5" outlineLevel="0" r="231">
      <c r="A231" s="18" t="s">
        <v>584</v>
      </c>
      <c r="B231" s="18" t="s">
        <v>585</v>
      </c>
      <c r="C231" s="18"/>
      <c r="D231" s="18" t="s">
        <v>586</v>
      </c>
      <c r="E231" s="18" t="s">
        <v>72</v>
      </c>
      <c r="F231" s="18"/>
      <c r="G231" s="18" t="s">
        <v>85</v>
      </c>
      <c r="H231" s="19" t="n">
        <v>43054.3823734144</v>
      </c>
      <c r="I231" s="20" t="n">
        <v>43054.3823734144</v>
      </c>
      <c r="J231" s="19" t="n">
        <v>43047.6582496991</v>
      </c>
      <c r="K231" s="20" t="n">
        <v>43047.6582496991</v>
      </c>
      <c r="L231" s="18" t="s">
        <v>15</v>
      </c>
      <c r="M231" s="18"/>
      <c r="N231" s="18"/>
      <c r="O231" s="18"/>
      <c r="P231" s="18" t="s">
        <v>16</v>
      </c>
    </row>
    <row collapsed="false" customFormat="false" customHeight="true" hidden="false" ht="25.5" outlineLevel="0" r="232">
      <c r="A232" s="18" t="s">
        <v>587</v>
      </c>
      <c r="B232" s="18" t="s">
        <v>588</v>
      </c>
      <c r="C232" s="18"/>
      <c r="D232" s="18" t="s">
        <v>140</v>
      </c>
      <c r="E232" s="18" t="s">
        <v>28</v>
      </c>
      <c r="F232" s="18"/>
      <c r="G232" s="18" t="s">
        <v>14</v>
      </c>
      <c r="H232" s="19" t="n">
        <v>43051.7505694213</v>
      </c>
      <c r="I232" s="20" t="n">
        <v>43051.7505694213</v>
      </c>
      <c r="J232" s="19" t="n">
        <v>43047.828174375</v>
      </c>
      <c r="K232" s="20" t="n">
        <v>43047.828174375</v>
      </c>
      <c r="L232" s="18" t="s">
        <v>15</v>
      </c>
      <c r="M232" s="18"/>
      <c r="N232" s="18"/>
      <c r="O232" s="18"/>
      <c r="P232" s="18" t="s">
        <v>16</v>
      </c>
    </row>
    <row collapsed="false" customFormat="false" customHeight="true" hidden="false" ht="25.5" outlineLevel="0" r="233">
      <c r="A233" s="18" t="s">
        <v>589</v>
      </c>
      <c r="B233" s="18" t="s">
        <v>300</v>
      </c>
      <c r="C233" s="18"/>
      <c r="D233" s="18" t="s">
        <v>125</v>
      </c>
      <c r="E233" s="18" t="s">
        <v>126</v>
      </c>
      <c r="F233" s="18"/>
      <c r="G233" s="18" t="s">
        <v>14</v>
      </c>
      <c r="H233" s="19" t="n">
        <v>43056.1265618866</v>
      </c>
      <c r="I233" s="20" t="n">
        <v>43056.1265618866</v>
      </c>
      <c r="J233" s="19" t="n">
        <v>43053.3980919329</v>
      </c>
      <c r="K233" s="20" t="n">
        <v>43053.3980919329</v>
      </c>
      <c r="L233" s="18" t="s">
        <v>15</v>
      </c>
      <c r="M233" s="18"/>
      <c r="N233" s="18"/>
      <c r="O233" s="18"/>
      <c r="P233" s="18" t="s">
        <v>16</v>
      </c>
    </row>
    <row collapsed="false" customFormat="false" customHeight="true" hidden="false" ht="25.5" outlineLevel="0" r="234">
      <c r="A234" s="18" t="s">
        <v>590</v>
      </c>
      <c r="B234" s="18" t="s">
        <v>591</v>
      </c>
      <c r="C234" s="18"/>
      <c r="D234" s="18" t="s">
        <v>592</v>
      </c>
      <c r="E234" s="18" t="s">
        <v>126</v>
      </c>
      <c r="F234" s="18"/>
      <c r="G234" s="18" t="s">
        <v>14</v>
      </c>
      <c r="H234" s="19" t="n">
        <v>43056.1265742014</v>
      </c>
      <c r="I234" s="20" t="n">
        <v>43056.1265742014</v>
      </c>
      <c r="J234" s="19" t="n">
        <v>43053.5192157523</v>
      </c>
      <c r="K234" s="20" t="n">
        <v>43053.5192157523</v>
      </c>
      <c r="L234" s="18" t="s">
        <v>15</v>
      </c>
      <c r="M234" s="18"/>
      <c r="N234" s="18"/>
      <c r="O234" s="18"/>
      <c r="P234" s="18" t="s">
        <v>16</v>
      </c>
    </row>
    <row collapsed="false" customFormat="false" customHeight="true" hidden="false" ht="25.5" outlineLevel="0" r="235">
      <c r="A235" s="18" t="s">
        <v>593</v>
      </c>
      <c r="B235" s="18" t="s">
        <v>377</v>
      </c>
      <c r="C235" s="18"/>
      <c r="D235" s="18" t="s">
        <v>594</v>
      </c>
      <c r="E235" s="18" t="s">
        <v>241</v>
      </c>
      <c r="F235" s="18"/>
      <c r="G235" s="18" t="s">
        <v>14</v>
      </c>
      <c r="H235" s="19" t="n">
        <v>43062.1257914699</v>
      </c>
      <c r="I235" s="20" t="n">
        <v>43062.1257914699</v>
      </c>
      <c r="J235" s="19" t="n">
        <v>43053.6984472106</v>
      </c>
      <c r="K235" s="20" t="n">
        <v>43053.6984472106</v>
      </c>
      <c r="L235" s="18" t="s">
        <v>15</v>
      </c>
      <c r="M235" s="18"/>
      <c r="N235" s="18"/>
      <c r="O235" s="18"/>
      <c r="P235" s="18" t="s">
        <v>16</v>
      </c>
    </row>
    <row collapsed="false" customFormat="false" customHeight="true" hidden="false" ht="25.5" outlineLevel="0" r="236">
      <c r="A236" s="18" t="s">
        <v>595</v>
      </c>
      <c r="B236" s="18" t="s">
        <v>596</v>
      </c>
      <c r="C236" s="18"/>
      <c r="D236" s="18" t="s">
        <v>61</v>
      </c>
      <c r="E236" s="18" t="s">
        <v>50</v>
      </c>
      <c r="F236" s="18"/>
      <c r="G236" s="18" t="s">
        <v>14</v>
      </c>
      <c r="H236" s="19" t="n">
        <v>43062.1258099769</v>
      </c>
      <c r="I236" s="20" t="n">
        <v>43062.1258099769</v>
      </c>
      <c r="J236" s="19" t="n">
        <v>43055.2699872338</v>
      </c>
      <c r="K236" s="20" t="n">
        <v>43055.2699872338</v>
      </c>
      <c r="L236" s="18" t="s">
        <v>15</v>
      </c>
      <c r="M236" s="18"/>
      <c r="N236" s="18"/>
      <c r="O236" s="18"/>
      <c r="P236" s="18" t="s">
        <v>16</v>
      </c>
    </row>
    <row collapsed="false" customFormat="false" customHeight="true" hidden="false" ht="25.5" outlineLevel="0" r="237">
      <c r="A237" s="18" t="s">
        <v>597</v>
      </c>
      <c r="B237" s="18" t="s">
        <v>598</v>
      </c>
      <c r="C237" s="18"/>
      <c r="D237" s="18" t="s">
        <v>599</v>
      </c>
      <c r="E237" s="18" t="s">
        <v>24</v>
      </c>
      <c r="F237" s="18"/>
      <c r="G237" s="18" t="s">
        <v>14</v>
      </c>
      <c r="H237" s="19" t="n">
        <v>43062.1258165857</v>
      </c>
      <c r="I237" s="20" t="n">
        <v>43062.1258165857</v>
      </c>
      <c r="J237" s="19" t="n">
        <v>43055.4858016088</v>
      </c>
      <c r="K237" s="20" t="n">
        <v>43055.4858016088</v>
      </c>
      <c r="L237" s="18" t="s">
        <v>15</v>
      </c>
      <c r="M237" s="18"/>
      <c r="N237" s="18"/>
      <c r="O237" s="18"/>
      <c r="P237" s="18" t="s">
        <v>16</v>
      </c>
    </row>
    <row collapsed="false" customFormat="false" customHeight="true" hidden="false" ht="25.5" outlineLevel="0" r="238">
      <c r="A238" s="18" t="s">
        <v>600</v>
      </c>
      <c r="B238" s="18" t="s">
        <v>601</v>
      </c>
      <c r="C238" s="18"/>
      <c r="D238" s="18" t="s">
        <v>140</v>
      </c>
      <c r="E238" s="18" t="s">
        <v>28</v>
      </c>
      <c r="F238" s="18"/>
      <c r="G238" s="18" t="s">
        <v>14</v>
      </c>
      <c r="H238" s="19" t="n">
        <v>43062.125830544</v>
      </c>
      <c r="I238" s="20" t="n">
        <v>43062.125830544</v>
      </c>
      <c r="J238" s="19" t="n">
        <v>43055.9787445023</v>
      </c>
      <c r="K238" s="20" t="n">
        <v>43055.9787445023</v>
      </c>
      <c r="L238" s="18" t="s">
        <v>15</v>
      </c>
      <c r="M238" s="18"/>
      <c r="N238" s="18"/>
      <c r="O238" s="18"/>
      <c r="P238" s="18" t="s">
        <v>16</v>
      </c>
    </row>
    <row collapsed="false" customFormat="false" customHeight="true" hidden="false" ht="25.5" outlineLevel="0" r="239">
      <c r="A239" s="18" t="s">
        <v>602</v>
      </c>
      <c r="B239" s="18" t="s">
        <v>603</v>
      </c>
      <c r="C239" s="18"/>
      <c r="D239" s="18" t="s">
        <v>140</v>
      </c>
      <c r="E239" s="18" t="s">
        <v>28</v>
      </c>
      <c r="F239" s="18"/>
      <c r="G239" s="18" t="s">
        <v>14</v>
      </c>
      <c r="H239" s="19" t="n">
        <v>43062.1258320023</v>
      </c>
      <c r="I239" s="20" t="n">
        <v>43062.1258320023</v>
      </c>
      <c r="J239" s="19" t="n">
        <v>43055.9801971296</v>
      </c>
      <c r="K239" s="20" t="n">
        <v>43055.9801971296</v>
      </c>
      <c r="L239" s="18" t="s">
        <v>15</v>
      </c>
      <c r="M239" s="18"/>
      <c r="N239" s="18"/>
      <c r="O239" s="18"/>
      <c r="P239" s="18" t="s">
        <v>16</v>
      </c>
    </row>
    <row collapsed="false" customFormat="false" customHeight="true" hidden="false" ht="25.5" outlineLevel="0" r="240">
      <c r="A240" s="18" t="s">
        <v>604</v>
      </c>
      <c r="B240" s="18" t="s">
        <v>561</v>
      </c>
      <c r="C240" s="18"/>
      <c r="D240" s="18" t="s">
        <v>605</v>
      </c>
      <c r="E240" s="18" t="s">
        <v>108</v>
      </c>
      <c r="F240" s="18"/>
      <c r="G240" s="18" t="s">
        <v>14</v>
      </c>
      <c r="H240" s="19" t="n">
        <v>43063.6805823495</v>
      </c>
      <c r="I240" s="20" t="n">
        <v>43063.6805823495</v>
      </c>
      <c r="J240" s="19" t="n">
        <v>43056.3661859607</v>
      </c>
      <c r="K240" s="20" t="n">
        <v>43056.3661859607</v>
      </c>
      <c r="L240" s="18" t="s">
        <v>15</v>
      </c>
      <c r="M240" s="18"/>
      <c r="N240" s="18"/>
      <c r="O240" s="18"/>
      <c r="P240" s="18" t="s">
        <v>16</v>
      </c>
    </row>
    <row collapsed="false" customFormat="false" customHeight="true" hidden="false" ht="25.5" outlineLevel="0" r="241">
      <c r="A241" s="18" t="s">
        <v>606</v>
      </c>
      <c r="B241" s="18" t="s">
        <v>607</v>
      </c>
      <c r="C241" s="18"/>
      <c r="D241" s="18" t="s">
        <v>608</v>
      </c>
      <c r="E241" s="18" t="s">
        <v>24</v>
      </c>
      <c r="F241" s="18"/>
      <c r="G241" s="18" t="s">
        <v>14</v>
      </c>
      <c r="H241" s="19" t="n">
        <v>43065.4930931945</v>
      </c>
      <c r="I241" s="20" t="n">
        <v>43065.4930931945</v>
      </c>
      <c r="J241" s="19" t="n">
        <v>43059.4815082523</v>
      </c>
      <c r="K241" s="20" t="n">
        <v>43059.4815082523</v>
      </c>
      <c r="L241" s="18" t="s">
        <v>15</v>
      </c>
      <c r="M241" s="18"/>
      <c r="N241" s="18"/>
      <c r="O241" s="18"/>
      <c r="P241" s="18" t="s">
        <v>16</v>
      </c>
    </row>
    <row collapsed="false" customFormat="false" customHeight="true" hidden="false" ht="25.5" outlineLevel="0" r="242">
      <c r="A242" s="18" t="s">
        <v>609</v>
      </c>
      <c r="B242" s="18" t="s">
        <v>610</v>
      </c>
      <c r="C242" s="18"/>
      <c r="D242" s="18" t="s">
        <v>611</v>
      </c>
      <c r="E242" s="18" t="s">
        <v>33</v>
      </c>
      <c r="F242" s="18"/>
      <c r="G242" s="18" t="s">
        <v>14</v>
      </c>
      <c r="H242" s="19" t="n">
        <v>43071.125871713</v>
      </c>
      <c r="I242" s="20" t="n">
        <v>43071.125871713</v>
      </c>
      <c r="J242" s="19" t="n">
        <v>43059.7112390162</v>
      </c>
      <c r="K242" s="20" t="n">
        <v>43059.7112390162</v>
      </c>
      <c r="L242" s="18" t="s">
        <v>15</v>
      </c>
      <c r="M242" s="18"/>
      <c r="N242" s="18"/>
      <c r="O242" s="18"/>
      <c r="P242" s="18" t="s">
        <v>16</v>
      </c>
    </row>
    <row collapsed="false" customFormat="false" customHeight="true" hidden="false" ht="25.5" outlineLevel="0" r="243">
      <c r="A243" s="18" t="s">
        <v>612</v>
      </c>
      <c r="B243" s="18" t="s">
        <v>613</v>
      </c>
      <c r="C243" s="18"/>
      <c r="D243" s="18" t="s">
        <v>614</v>
      </c>
      <c r="E243" s="18" t="s">
        <v>615</v>
      </c>
      <c r="F243" s="18"/>
      <c r="G243" s="18" t="s">
        <v>14</v>
      </c>
      <c r="H243" s="19" t="n">
        <v>43064.6111421296</v>
      </c>
      <c r="I243" s="20" t="n">
        <v>43064.6111421296</v>
      </c>
      <c r="J243" s="19" t="n">
        <v>43059.7485373727</v>
      </c>
      <c r="K243" s="20" t="n">
        <v>43059.7485373727</v>
      </c>
      <c r="L243" s="18" t="s">
        <v>15</v>
      </c>
      <c r="M243" s="18"/>
      <c r="N243" s="18"/>
      <c r="O243" s="18"/>
      <c r="P243" s="18" t="s">
        <v>16</v>
      </c>
    </row>
    <row collapsed="false" customFormat="false" customHeight="true" hidden="false" ht="25.5" outlineLevel="0" r="244">
      <c r="A244" s="18" t="s">
        <v>616</v>
      </c>
      <c r="B244" s="18" t="s">
        <v>617</v>
      </c>
      <c r="C244" s="18"/>
      <c r="D244" s="18" t="s">
        <v>392</v>
      </c>
      <c r="E244" s="18" t="s">
        <v>50</v>
      </c>
      <c r="F244" s="18"/>
      <c r="G244" s="18" t="s">
        <v>14</v>
      </c>
      <c r="H244" s="19" t="n">
        <v>43064.1258491319</v>
      </c>
      <c r="I244" s="20" t="n">
        <v>43064.1258491319</v>
      </c>
      <c r="J244" s="19" t="n">
        <v>43061.2895396528</v>
      </c>
      <c r="K244" s="20" t="n">
        <v>43061.2895396528</v>
      </c>
      <c r="L244" s="18" t="s">
        <v>15</v>
      </c>
      <c r="M244" s="18"/>
      <c r="N244" s="18"/>
      <c r="O244" s="18"/>
      <c r="P244" s="18" t="s">
        <v>16</v>
      </c>
    </row>
    <row collapsed="false" customFormat="false" customHeight="true" hidden="false" ht="25.5" outlineLevel="0" r="245">
      <c r="A245" s="18" t="s">
        <v>618</v>
      </c>
      <c r="B245" s="18" t="s">
        <v>619</v>
      </c>
      <c r="C245" s="18"/>
      <c r="D245" s="18" t="s">
        <v>620</v>
      </c>
      <c r="E245" s="18" t="s">
        <v>229</v>
      </c>
      <c r="F245" s="18"/>
      <c r="G245" s="18" t="s">
        <v>14</v>
      </c>
      <c r="H245" s="19" t="n">
        <v>43068.2919915278</v>
      </c>
      <c r="I245" s="20" t="n">
        <v>43068.2919915278</v>
      </c>
      <c r="J245" s="19" t="n">
        <v>43062.8772528588</v>
      </c>
      <c r="K245" s="20" t="n">
        <v>43062.8772528588</v>
      </c>
      <c r="L245" s="18" t="s">
        <v>15</v>
      </c>
      <c r="M245" s="18"/>
      <c r="N245" s="18"/>
      <c r="O245" s="18"/>
      <c r="P245" s="18" t="s">
        <v>16</v>
      </c>
    </row>
    <row collapsed="false" customFormat="false" customHeight="true" hidden="false" ht="25.5" outlineLevel="0" r="246">
      <c r="A246" s="18" t="s">
        <v>621</v>
      </c>
      <c r="B246" s="18" t="s">
        <v>622</v>
      </c>
      <c r="C246" s="18"/>
      <c r="D246" s="18" t="s">
        <v>140</v>
      </c>
      <c r="E246" s="18" t="s">
        <v>175</v>
      </c>
      <c r="F246" s="18"/>
      <c r="G246" s="18" t="s">
        <v>14</v>
      </c>
      <c r="H246" s="19" t="n">
        <v>43071.1258778704</v>
      </c>
      <c r="I246" s="20" t="n">
        <v>43071.1258778704</v>
      </c>
      <c r="J246" s="19" t="n">
        <v>43063.8399084144</v>
      </c>
      <c r="K246" s="20" t="n">
        <v>43063.8399084144</v>
      </c>
      <c r="L246" s="18" t="s">
        <v>15</v>
      </c>
      <c r="M246" s="18"/>
      <c r="N246" s="18"/>
      <c r="O246" s="18"/>
      <c r="P246" s="18" t="s">
        <v>16</v>
      </c>
    </row>
    <row collapsed="false" customFormat="false" customHeight="true" hidden="false" ht="25.5" outlineLevel="0" r="247">
      <c r="A247" s="18" t="s">
        <v>623</v>
      </c>
      <c r="B247" s="18" t="s">
        <v>624</v>
      </c>
      <c r="C247" s="18"/>
      <c r="D247" s="18" t="s">
        <v>625</v>
      </c>
      <c r="E247" s="18" t="s">
        <v>28</v>
      </c>
      <c r="F247" s="18"/>
      <c r="G247" s="18" t="s">
        <v>14</v>
      </c>
      <c r="H247" s="19" t="n">
        <v>43071.3336226968</v>
      </c>
      <c r="I247" s="20" t="n">
        <v>43071.3336226968</v>
      </c>
      <c r="J247" s="19" t="n">
        <v>43067.763853125</v>
      </c>
      <c r="K247" s="20" t="n">
        <v>43067.763853125</v>
      </c>
      <c r="L247" s="18" t="s">
        <v>15</v>
      </c>
      <c r="M247" s="18"/>
      <c r="N247" s="18"/>
      <c r="O247" s="18"/>
      <c r="P247" s="18" t="s">
        <v>16</v>
      </c>
    </row>
    <row collapsed="false" customFormat="false" customHeight="true" hidden="false" ht="25.5" outlineLevel="0" r="248">
      <c r="A248" s="18" t="s">
        <v>626</v>
      </c>
      <c r="B248" s="18" t="s">
        <v>627</v>
      </c>
      <c r="C248" s="18"/>
      <c r="D248" s="18" t="s">
        <v>628</v>
      </c>
      <c r="E248" s="18" t="s">
        <v>215</v>
      </c>
      <c r="F248" s="18"/>
      <c r="G248" s="18" t="s">
        <v>14</v>
      </c>
      <c r="H248" s="19" t="n">
        <v>43072.7224245255</v>
      </c>
      <c r="I248" s="20" t="n">
        <v>43072.7224245255</v>
      </c>
      <c r="J248" s="19" t="n">
        <v>43068.6090155093</v>
      </c>
      <c r="K248" s="20" t="n">
        <v>43068.6090155093</v>
      </c>
      <c r="L248" s="18" t="s">
        <v>15</v>
      </c>
      <c r="M248" s="18"/>
      <c r="N248" s="18"/>
      <c r="O248" s="18"/>
      <c r="P248" s="18" t="s">
        <v>16</v>
      </c>
    </row>
    <row collapsed="false" customFormat="false" customHeight="true" hidden="false" ht="25.5" outlineLevel="0" r="249">
      <c r="A249" s="18" t="s">
        <v>629</v>
      </c>
      <c r="B249" s="18" t="s">
        <v>630</v>
      </c>
      <c r="C249" s="18"/>
      <c r="D249" s="18" t="s">
        <v>479</v>
      </c>
      <c r="E249" s="18" t="s">
        <v>215</v>
      </c>
      <c r="F249" s="18"/>
      <c r="G249" s="18" t="s">
        <v>14</v>
      </c>
      <c r="H249" s="19" t="n">
        <v>43077.3544960995</v>
      </c>
      <c r="I249" s="20" t="n">
        <v>43077.3544960995</v>
      </c>
      <c r="J249" s="19" t="n">
        <v>43069.6145112963</v>
      </c>
      <c r="K249" s="20" t="n">
        <v>43069.6145112963</v>
      </c>
      <c r="L249" s="18" t="s">
        <v>15</v>
      </c>
      <c r="M249" s="18"/>
      <c r="N249" s="18"/>
      <c r="O249" s="18"/>
      <c r="P249" s="18" t="s">
        <v>58</v>
      </c>
    </row>
    <row collapsed="false" customFormat="false" customHeight="true" hidden="false" ht="25.5" outlineLevel="0" r="250">
      <c r="A250" s="18" t="s">
        <v>631</v>
      </c>
      <c r="B250" s="18" t="s">
        <v>632</v>
      </c>
      <c r="C250" s="18"/>
      <c r="D250" s="18" t="s">
        <v>633</v>
      </c>
      <c r="E250" s="18" t="s">
        <v>24</v>
      </c>
      <c r="F250" s="18"/>
      <c r="G250" s="18" t="s">
        <v>14</v>
      </c>
      <c r="H250" s="19" t="n">
        <v>43077.722553206</v>
      </c>
      <c r="I250" s="20" t="n">
        <v>43077.722553206</v>
      </c>
      <c r="J250" s="19" t="n">
        <v>43073.5005332407</v>
      </c>
      <c r="K250" s="20" t="n">
        <v>43073.5005332407</v>
      </c>
      <c r="L250" s="18" t="s">
        <v>15</v>
      </c>
      <c r="M250" s="18"/>
      <c r="N250" s="18"/>
      <c r="O250" s="18"/>
      <c r="P250" s="18" t="s">
        <v>16</v>
      </c>
    </row>
    <row collapsed="false" customFormat="false" customHeight="true" hidden="false" ht="25.5" outlineLevel="0" r="251">
      <c r="A251" s="18" t="s">
        <v>634</v>
      </c>
      <c r="B251" s="18" t="s">
        <v>577</v>
      </c>
      <c r="C251" s="18"/>
      <c r="D251" s="18" t="s">
        <v>54</v>
      </c>
      <c r="E251" s="18" t="s">
        <v>72</v>
      </c>
      <c r="F251" s="18"/>
      <c r="G251" s="18" t="s">
        <v>14</v>
      </c>
      <c r="H251" s="19" t="n">
        <v>43076.125618287</v>
      </c>
      <c r="I251" s="20" t="n">
        <v>43076.125618287</v>
      </c>
      <c r="J251" s="19" t="n">
        <v>43073.5161557292</v>
      </c>
      <c r="K251" s="20" t="n">
        <v>43073.5161557292</v>
      </c>
      <c r="L251" s="18" t="s">
        <v>15</v>
      </c>
      <c r="M251" s="18"/>
      <c r="N251" s="18"/>
      <c r="O251" s="18"/>
      <c r="P251" s="18" t="s">
        <v>58</v>
      </c>
    </row>
    <row collapsed="false" customFormat="false" customHeight="true" hidden="false" ht="25.5" outlineLevel="0" r="252">
      <c r="A252" s="18" t="s">
        <v>635</v>
      </c>
      <c r="B252" s="18" t="s">
        <v>53</v>
      </c>
      <c r="C252" s="18"/>
      <c r="D252" s="18" t="s">
        <v>54</v>
      </c>
      <c r="E252" s="18" t="s">
        <v>72</v>
      </c>
      <c r="F252" s="18"/>
      <c r="G252" s="18" t="s">
        <v>14</v>
      </c>
      <c r="H252" s="19" t="n">
        <v>43075.3814581944</v>
      </c>
      <c r="I252" s="20" t="n">
        <v>43075.3814581944</v>
      </c>
      <c r="J252" s="19" t="n">
        <v>43073.5179933681</v>
      </c>
      <c r="K252" s="20" t="n">
        <v>43073.5179933681</v>
      </c>
      <c r="L252" s="18" t="s">
        <v>15</v>
      </c>
      <c r="M252" s="18"/>
      <c r="N252" s="18"/>
      <c r="O252" s="18"/>
      <c r="P252" s="18" t="s">
        <v>46</v>
      </c>
    </row>
    <row collapsed="false" customFormat="false" customHeight="true" hidden="false" ht="25.5" outlineLevel="0" r="253">
      <c r="A253" s="18" t="s">
        <v>636</v>
      </c>
      <c r="B253" s="18" t="s">
        <v>637</v>
      </c>
      <c r="C253" s="18"/>
      <c r="D253" s="18" t="s">
        <v>54</v>
      </c>
      <c r="E253" s="18" t="s">
        <v>55</v>
      </c>
      <c r="F253" s="18"/>
      <c r="G253" s="18" t="s">
        <v>14</v>
      </c>
      <c r="H253" s="19" t="n">
        <v>43076.1257157407</v>
      </c>
      <c r="I253" s="20" t="n">
        <v>43076.1257157407</v>
      </c>
      <c r="J253" s="19" t="n">
        <v>43073.7235153588</v>
      </c>
      <c r="K253" s="20" t="n">
        <v>43073.7235153588</v>
      </c>
      <c r="L253" s="18" t="s">
        <v>15</v>
      </c>
      <c r="M253" s="18"/>
      <c r="N253" s="18"/>
      <c r="O253" s="18"/>
      <c r="P253" s="18" t="s">
        <v>58</v>
      </c>
    </row>
    <row collapsed="false" customFormat="false" customHeight="true" hidden="false" ht="25.5" outlineLevel="0" r="254">
      <c r="A254" s="18" t="s">
        <v>638</v>
      </c>
      <c r="B254" s="18" t="s">
        <v>504</v>
      </c>
      <c r="C254" s="18"/>
      <c r="D254" s="18" t="s">
        <v>639</v>
      </c>
      <c r="E254" s="18" t="s">
        <v>28</v>
      </c>
      <c r="F254" s="18"/>
      <c r="G254" s="18" t="s">
        <v>14</v>
      </c>
      <c r="H254" s="19" t="n">
        <v>43076.3336539815</v>
      </c>
      <c r="I254" s="20" t="n">
        <v>43076.3336539815</v>
      </c>
      <c r="J254" s="19" t="n">
        <v>43073.9537369792</v>
      </c>
      <c r="K254" s="20" t="n">
        <v>43073.9537369792</v>
      </c>
      <c r="L254" s="18" t="s">
        <v>15</v>
      </c>
      <c r="M254" s="18"/>
      <c r="N254" s="18"/>
      <c r="O254" s="18"/>
      <c r="P254" s="18" t="s">
        <v>16</v>
      </c>
    </row>
    <row collapsed="false" customFormat="false" customHeight="true" hidden="false" ht="25.5" outlineLevel="0" r="255">
      <c r="A255" s="18" t="s">
        <v>640</v>
      </c>
      <c r="B255" s="18" t="s">
        <v>271</v>
      </c>
      <c r="C255" s="18"/>
      <c r="D255" s="18" t="s">
        <v>140</v>
      </c>
      <c r="E255" s="18" t="s">
        <v>72</v>
      </c>
      <c r="F255" s="18"/>
      <c r="G255" s="18" t="s">
        <v>14</v>
      </c>
      <c r="H255" s="19" t="n">
        <v>43076.3336571412</v>
      </c>
      <c r="I255" s="20" t="n">
        <v>43076.3336571412</v>
      </c>
      <c r="J255" s="19" t="n">
        <v>43074.5203514931</v>
      </c>
      <c r="K255" s="20" t="n">
        <v>43074.5203514931</v>
      </c>
      <c r="L255" s="18" t="s">
        <v>15</v>
      </c>
      <c r="M255" s="18"/>
      <c r="N255" s="18"/>
      <c r="O255" s="18"/>
      <c r="P255" s="18" t="s">
        <v>16</v>
      </c>
    </row>
    <row collapsed="false" customFormat="false" customHeight="true" hidden="false" ht="25.5" outlineLevel="0" r="256">
      <c r="A256" s="18" t="s">
        <v>641</v>
      </c>
      <c r="B256" s="18" t="s">
        <v>642</v>
      </c>
      <c r="C256" s="18"/>
      <c r="D256" s="18" t="s">
        <v>643</v>
      </c>
      <c r="E256" s="18" t="s">
        <v>643</v>
      </c>
      <c r="F256" s="18"/>
      <c r="G256" s="18" t="s">
        <v>14</v>
      </c>
      <c r="H256" s="19" t="n">
        <v>43076.3336597685</v>
      </c>
      <c r="I256" s="20" t="n">
        <v>43076.3336597685</v>
      </c>
      <c r="J256" s="19" t="n">
        <v>43074.5221665278</v>
      </c>
      <c r="K256" s="20" t="n">
        <v>43074.5221665278</v>
      </c>
      <c r="L256" s="18" t="s">
        <v>15</v>
      </c>
      <c r="M256" s="18"/>
      <c r="N256" s="18"/>
      <c r="O256" s="18"/>
      <c r="P256" s="18" t="s">
        <v>16</v>
      </c>
    </row>
    <row collapsed="false" customFormat="false" customHeight="true" hidden="false" ht="25.5" outlineLevel="0" r="257">
      <c r="A257" s="18" t="s">
        <v>644</v>
      </c>
      <c r="B257" s="18" t="s">
        <v>645</v>
      </c>
      <c r="C257" s="18"/>
      <c r="D257" s="18" t="s">
        <v>61</v>
      </c>
      <c r="E257" s="18" t="s">
        <v>72</v>
      </c>
      <c r="F257" s="18"/>
      <c r="G257" s="18" t="s">
        <v>14</v>
      </c>
      <c r="H257" s="19" t="n">
        <v>43083.1254895486</v>
      </c>
      <c r="I257" s="20" t="n">
        <v>43083.1254895486</v>
      </c>
      <c r="J257" s="19" t="n">
        <v>43074.6382029282</v>
      </c>
      <c r="K257" s="20" t="n">
        <v>43074.6382029282</v>
      </c>
      <c r="L257" s="18" t="s">
        <v>15</v>
      </c>
      <c r="M257" s="18"/>
      <c r="N257" s="18"/>
      <c r="O257" s="18"/>
      <c r="P257" s="18" t="s">
        <v>16</v>
      </c>
    </row>
    <row collapsed="false" customFormat="false" customHeight="true" hidden="false" ht="25.5" outlineLevel="0" r="258">
      <c r="A258" s="18" t="s">
        <v>646</v>
      </c>
      <c r="B258" s="18" t="s">
        <v>647</v>
      </c>
      <c r="C258" s="18"/>
      <c r="D258" s="18" t="s">
        <v>140</v>
      </c>
      <c r="E258" s="18" t="s">
        <v>72</v>
      </c>
      <c r="F258" s="18"/>
      <c r="G258" s="18" t="s">
        <v>14</v>
      </c>
      <c r="H258" s="19" t="n">
        <v>43079.40313375</v>
      </c>
      <c r="I258" s="20" t="n">
        <v>43079.40313375</v>
      </c>
      <c r="J258" s="19" t="n">
        <v>43075.4365063773</v>
      </c>
      <c r="K258" s="20" t="n">
        <v>43075.4365063773</v>
      </c>
      <c r="L258" s="18" t="s">
        <v>15</v>
      </c>
      <c r="M258" s="18"/>
      <c r="N258" s="18"/>
      <c r="O258" s="18"/>
      <c r="P258" s="18" t="s">
        <v>16</v>
      </c>
    </row>
    <row collapsed="false" customFormat="false" customHeight="true" hidden="false" ht="25.5" outlineLevel="0" r="259">
      <c r="A259" s="18" t="s">
        <v>648</v>
      </c>
      <c r="B259" s="18" t="s">
        <v>649</v>
      </c>
      <c r="C259" s="18"/>
      <c r="D259" s="18" t="s">
        <v>650</v>
      </c>
      <c r="E259" s="18" t="s">
        <v>72</v>
      </c>
      <c r="F259" s="18"/>
      <c r="G259" s="18" t="s">
        <v>14</v>
      </c>
      <c r="H259" s="19" t="n">
        <v>43079.597583912</v>
      </c>
      <c r="I259" s="20" t="n">
        <v>43079.597583912</v>
      </c>
      <c r="J259" s="19" t="n">
        <v>43075.4789425232</v>
      </c>
      <c r="K259" s="20" t="n">
        <v>43075.4789425232</v>
      </c>
      <c r="L259" s="18" t="s">
        <v>15</v>
      </c>
      <c r="M259" s="18"/>
      <c r="N259" s="18"/>
      <c r="O259" s="18"/>
      <c r="P259" s="18" t="s">
        <v>16</v>
      </c>
    </row>
    <row collapsed="false" customFormat="false" customHeight="true" hidden="false" ht="25.5" outlineLevel="0" r="260">
      <c r="A260" s="18" t="s">
        <v>651</v>
      </c>
      <c r="B260" s="18" t="s">
        <v>652</v>
      </c>
      <c r="C260" s="18"/>
      <c r="D260" s="18" t="s">
        <v>61</v>
      </c>
      <c r="E260" s="18" t="s">
        <v>72</v>
      </c>
      <c r="F260" s="18"/>
      <c r="G260" s="18" t="s">
        <v>14</v>
      </c>
      <c r="H260" s="19" t="n">
        <v>43078.1265904167</v>
      </c>
      <c r="I260" s="20" t="n">
        <v>43078.1265904167</v>
      </c>
      <c r="J260" s="19" t="n">
        <v>43075.5323043403</v>
      </c>
      <c r="K260" s="20" t="n">
        <v>43075.5323043403</v>
      </c>
      <c r="L260" s="18" t="s">
        <v>15</v>
      </c>
      <c r="M260" s="18"/>
      <c r="N260" s="18"/>
      <c r="O260" s="18"/>
      <c r="P260" s="18" t="s">
        <v>16</v>
      </c>
    </row>
    <row collapsed="false" customFormat="false" customHeight="true" hidden="false" ht="25.5" outlineLevel="0" r="261">
      <c r="A261" s="18" t="s">
        <v>653</v>
      </c>
      <c r="B261" s="18" t="s">
        <v>156</v>
      </c>
      <c r="C261" s="18"/>
      <c r="D261" s="18" t="s">
        <v>140</v>
      </c>
      <c r="E261" s="18" t="s">
        <v>72</v>
      </c>
      <c r="F261" s="18"/>
      <c r="G261" s="18" t="s">
        <v>14</v>
      </c>
      <c r="H261" s="19" t="n">
        <v>43078.1265942245</v>
      </c>
      <c r="I261" s="20" t="n">
        <v>43078.1265942245</v>
      </c>
      <c r="J261" s="19" t="n">
        <v>43075.6058402083</v>
      </c>
      <c r="K261" s="20" t="n">
        <v>43075.6058402083</v>
      </c>
      <c r="L261" s="18" t="s">
        <v>15</v>
      </c>
      <c r="M261" s="18"/>
      <c r="N261" s="18"/>
      <c r="O261" s="18"/>
      <c r="P261" s="18" t="s">
        <v>16</v>
      </c>
    </row>
    <row collapsed="false" customFormat="false" customHeight="true" hidden="false" ht="25.5" outlineLevel="0" r="262">
      <c r="A262" s="18" t="s">
        <v>654</v>
      </c>
      <c r="B262" s="18" t="s">
        <v>655</v>
      </c>
      <c r="C262" s="18"/>
      <c r="D262" s="18" t="s">
        <v>61</v>
      </c>
      <c r="E262" s="18" t="s">
        <v>72</v>
      </c>
      <c r="F262" s="18"/>
      <c r="G262" s="18" t="s">
        <v>14</v>
      </c>
      <c r="H262" s="19" t="n">
        <v>43084.1259764005</v>
      </c>
      <c r="I262" s="20" t="n">
        <v>43084.1259764005</v>
      </c>
      <c r="J262" s="19" t="n">
        <v>43080.5174248495</v>
      </c>
      <c r="K262" s="20" t="n">
        <v>43080.5174248495</v>
      </c>
      <c r="L262" s="18" t="s">
        <v>15</v>
      </c>
      <c r="M262" s="18"/>
      <c r="N262" s="18"/>
      <c r="O262" s="18"/>
      <c r="P262" s="18" t="s">
        <v>16</v>
      </c>
    </row>
    <row collapsed="false" customFormat="false" customHeight="true" hidden="false" ht="25.5" outlineLevel="0" r="263">
      <c r="A263" s="18" t="s">
        <v>656</v>
      </c>
      <c r="B263" s="18" t="s">
        <v>271</v>
      </c>
      <c r="C263" s="18"/>
      <c r="D263" s="18" t="s">
        <v>140</v>
      </c>
      <c r="E263" s="18" t="s">
        <v>72</v>
      </c>
      <c r="F263" s="18"/>
      <c r="G263" s="18" t="s">
        <v>14</v>
      </c>
      <c r="H263" s="19" t="n">
        <v>43083.1256501852</v>
      </c>
      <c r="I263" s="20" t="n">
        <v>43083.1256501852</v>
      </c>
      <c r="J263" s="19" t="n">
        <v>43080.5378115857</v>
      </c>
      <c r="K263" s="20" t="n">
        <v>43080.5378115857</v>
      </c>
      <c r="L263" s="18" t="s">
        <v>15</v>
      </c>
      <c r="M263" s="18"/>
      <c r="N263" s="18"/>
      <c r="O263" s="18"/>
      <c r="P263" s="18" t="s">
        <v>16</v>
      </c>
    </row>
    <row collapsed="false" customFormat="false" customHeight="true" hidden="false" ht="25.5" outlineLevel="0" r="264">
      <c r="A264" s="18" t="s">
        <v>657</v>
      </c>
      <c r="B264" s="18" t="s">
        <v>658</v>
      </c>
      <c r="C264" s="18"/>
      <c r="D264" s="18" t="s">
        <v>200</v>
      </c>
      <c r="E264" s="18" t="s">
        <v>72</v>
      </c>
      <c r="F264" s="18"/>
      <c r="G264" s="18" t="s">
        <v>14</v>
      </c>
      <c r="H264" s="19" t="n">
        <v>43084.1257648843</v>
      </c>
      <c r="I264" s="20" t="n">
        <v>43084.1257648843</v>
      </c>
      <c r="J264" s="19" t="n">
        <v>43081.4352826505</v>
      </c>
      <c r="K264" s="20" t="n">
        <v>43081.4352826505</v>
      </c>
      <c r="L264" s="18" t="s">
        <v>15</v>
      </c>
      <c r="M264" s="18"/>
      <c r="N264" s="18"/>
      <c r="O264" s="18"/>
      <c r="P264" s="18" t="s">
        <v>16</v>
      </c>
    </row>
    <row collapsed="false" customFormat="false" customHeight="true" hidden="false" ht="25.5" outlineLevel="0" r="265">
      <c r="A265" s="18" t="s">
        <v>659</v>
      </c>
      <c r="B265" s="18" t="s">
        <v>660</v>
      </c>
      <c r="C265" s="18"/>
      <c r="D265" s="18" t="s">
        <v>61</v>
      </c>
      <c r="E265" s="18" t="s">
        <v>72</v>
      </c>
      <c r="F265" s="18"/>
      <c r="G265" s="18" t="s">
        <v>14</v>
      </c>
      <c r="H265" s="19" t="n">
        <v>43083.1258732523</v>
      </c>
      <c r="I265" s="20" t="n">
        <v>43083.1258732523</v>
      </c>
      <c r="J265" s="19" t="n">
        <v>43081.5522756829</v>
      </c>
      <c r="K265" s="20" t="n">
        <v>43081.5522756829</v>
      </c>
      <c r="L265" s="18" t="s">
        <v>15</v>
      </c>
      <c r="M265" s="18"/>
      <c r="N265" s="18"/>
      <c r="O265" s="18"/>
      <c r="P265" s="18" t="s">
        <v>16</v>
      </c>
    </row>
    <row collapsed="false" customFormat="false" customHeight="true" hidden="false" ht="25.5" outlineLevel="0" r="266">
      <c r="A266" s="18" t="s">
        <v>661</v>
      </c>
      <c r="B266" s="18" t="s">
        <v>662</v>
      </c>
      <c r="C266" s="18"/>
      <c r="D266" s="18" t="s">
        <v>61</v>
      </c>
      <c r="E266" s="18" t="s">
        <v>50</v>
      </c>
      <c r="F266" s="18"/>
      <c r="G266" s="18" t="s">
        <v>14</v>
      </c>
      <c r="H266" s="19" t="n">
        <v>43084.1258287847</v>
      </c>
      <c r="I266" s="20" t="n">
        <v>43084.1258287847</v>
      </c>
      <c r="J266" s="19" t="n">
        <v>43082.3107828704</v>
      </c>
      <c r="K266" s="20" t="n">
        <v>43082.3107828704</v>
      </c>
      <c r="L266" s="18" t="s">
        <v>15</v>
      </c>
      <c r="M266" s="18"/>
      <c r="N266" s="18"/>
      <c r="O266" s="18"/>
      <c r="P266" s="18" t="s">
        <v>16</v>
      </c>
    </row>
    <row collapsed="false" customFormat="false" customHeight="true" hidden="false" ht="25.5" outlineLevel="0" r="267">
      <c r="A267" s="18" t="s">
        <v>663</v>
      </c>
      <c r="B267" s="18" t="s">
        <v>664</v>
      </c>
      <c r="C267" s="18"/>
      <c r="D267" s="18" t="s">
        <v>61</v>
      </c>
      <c r="E267" s="18" t="s">
        <v>72</v>
      </c>
      <c r="F267" s="18"/>
      <c r="G267" s="18" t="s">
        <v>14</v>
      </c>
      <c r="H267" s="19" t="n">
        <v>43090.125590162</v>
      </c>
      <c r="I267" s="20" t="n">
        <v>43090.125590162</v>
      </c>
      <c r="J267" s="19" t="n">
        <v>43082.5181529167</v>
      </c>
      <c r="K267" s="20" t="n">
        <v>43082.5181529167</v>
      </c>
      <c r="L267" s="18" t="s">
        <v>15</v>
      </c>
      <c r="M267" s="18"/>
      <c r="N267" s="18"/>
      <c r="O267" s="18"/>
      <c r="P267" s="18" t="s">
        <v>16</v>
      </c>
    </row>
    <row collapsed="false" customFormat="false" customHeight="true" hidden="false" ht="25.5" outlineLevel="0" r="268">
      <c r="A268" s="18" t="s">
        <v>665</v>
      </c>
      <c r="B268" s="18" t="s">
        <v>666</v>
      </c>
      <c r="C268" s="18"/>
      <c r="D268" s="18" t="s">
        <v>667</v>
      </c>
      <c r="E268" s="18" t="s">
        <v>667</v>
      </c>
      <c r="F268" s="18"/>
      <c r="G268" s="18" t="s">
        <v>14</v>
      </c>
      <c r="H268" s="19" t="n">
        <v>43090.1256380556</v>
      </c>
      <c r="I268" s="20" t="n">
        <v>43090.1256380556</v>
      </c>
      <c r="J268" s="19" t="n">
        <v>43082.6857708912</v>
      </c>
      <c r="K268" s="20" t="n">
        <v>43082.6857708912</v>
      </c>
      <c r="L268" s="18" t="s">
        <v>15</v>
      </c>
      <c r="M268" s="18"/>
      <c r="N268" s="18"/>
      <c r="O268" s="18"/>
      <c r="P268" s="18" t="s">
        <v>16</v>
      </c>
    </row>
    <row collapsed="false" customFormat="false" customHeight="true" hidden="false" ht="25.5" outlineLevel="0" r="269">
      <c r="A269" s="18" t="s">
        <v>668</v>
      </c>
      <c r="B269" s="18" t="s">
        <v>658</v>
      </c>
      <c r="C269" s="18"/>
      <c r="D269" s="18" t="s">
        <v>669</v>
      </c>
      <c r="E269" s="18" t="s">
        <v>50</v>
      </c>
      <c r="F269" s="18"/>
      <c r="G269" s="18" t="s">
        <v>14</v>
      </c>
      <c r="H269" s="19" t="n">
        <v>43085.1268268171</v>
      </c>
      <c r="I269" s="20" t="n">
        <v>43085.1268268171</v>
      </c>
      <c r="J269" s="19" t="n">
        <v>43083.0990693287</v>
      </c>
      <c r="K269" s="20" t="n">
        <v>43083.0990693287</v>
      </c>
      <c r="L269" s="18" t="s">
        <v>15</v>
      </c>
      <c r="M269" s="18"/>
      <c r="N269" s="18"/>
      <c r="O269" s="18"/>
      <c r="P269" s="18" t="s">
        <v>16</v>
      </c>
    </row>
    <row collapsed="false" customFormat="false" customHeight="true" hidden="false" ht="25.5" outlineLevel="0" r="270">
      <c r="A270" s="18" t="s">
        <v>670</v>
      </c>
      <c r="B270" s="18" t="s">
        <v>671</v>
      </c>
      <c r="C270" s="18"/>
      <c r="D270" s="18" t="s">
        <v>672</v>
      </c>
      <c r="E270" s="18" t="s">
        <v>72</v>
      </c>
      <c r="F270" s="18"/>
      <c r="G270" s="18" t="s">
        <v>14</v>
      </c>
      <c r="H270" s="19" t="n">
        <v>43085.2503637963</v>
      </c>
      <c r="I270" s="20" t="n">
        <v>43085.2503637963</v>
      </c>
      <c r="J270" s="19" t="n">
        <v>43083.4629646181</v>
      </c>
      <c r="K270" s="20" t="n">
        <v>43083.4629646181</v>
      </c>
      <c r="L270" s="18" t="s">
        <v>15</v>
      </c>
      <c r="M270" s="18"/>
      <c r="N270" s="18"/>
      <c r="O270" s="18"/>
      <c r="P270" s="18" t="s">
        <v>16</v>
      </c>
    </row>
    <row collapsed="false" customFormat="false" customHeight="true" hidden="false" ht="25.5" outlineLevel="0" r="271">
      <c r="A271" s="18" t="s">
        <v>673</v>
      </c>
      <c r="B271" s="18" t="s">
        <v>271</v>
      </c>
      <c r="C271" s="18"/>
      <c r="D271" s="18" t="s">
        <v>140</v>
      </c>
      <c r="E271" s="18" t="s">
        <v>72</v>
      </c>
      <c r="F271" s="18"/>
      <c r="G271" s="18" t="s">
        <v>14</v>
      </c>
      <c r="H271" s="19" t="n">
        <v>43085.3753626505</v>
      </c>
      <c r="I271" s="20" t="n">
        <v>43085.3753626505</v>
      </c>
      <c r="J271" s="19" t="n">
        <v>43083.5182784954</v>
      </c>
      <c r="K271" s="20" t="n">
        <v>43083.5182784954</v>
      </c>
      <c r="L271" s="18" t="s">
        <v>15</v>
      </c>
      <c r="M271" s="18"/>
      <c r="N271" s="18"/>
      <c r="O271" s="18"/>
      <c r="P271" s="18" t="s">
        <v>16</v>
      </c>
    </row>
    <row collapsed="false" customFormat="false" customHeight="true" hidden="false" ht="25.5" outlineLevel="0" r="272">
      <c r="A272" s="18" t="s">
        <v>674</v>
      </c>
      <c r="B272" s="18" t="s">
        <v>675</v>
      </c>
      <c r="C272" s="18"/>
      <c r="D272" s="18" t="s">
        <v>676</v>
      </c>
      <c r="E272" s="18" t="s">
        <v>175</v>
      </c>
      <c r="F272" s="18"/>
      <c r="G272" s="18" t="s">
        <v>14</v>
      </c>
      <c r="H272" s="19" t="n">
        <v>43098.3786922569</v>
      </c>
      <c r="I272" s="20" t="n">
        <v>43098.3786922569</v>
      </c>
      <c r="J272" s="19" t="n">
        <v>43083.7196425694</v>
      </c>
      <c r="K272" s="20" t="n">
        <v>43083.7196425694</v>
      </c>
      <c r="L272" s="18" t="s">
        <v>15</v>
      </c>
      <c r="M272" s="18"/>
      <c r="N272" s="18"/>
      <c r="O272" s="18"/>
      <c r="P272" s="18" t="s">
        <v>16</v>
      </c>
    </row>
    <row collapsed="false" customFormat="false" customHeight="true" hidden="false" ht="25.5" outlineLevel="0" r="273">
      <c r="A273" s="18" t="s">
        <v>677</v>
      </c>
      <c r="B273" s="18" t="s">
        <v>214</v>
      </c>
      <c r="C273" s="18"/>
      <c r="D273" s="18" t="s">
        <v>164</v>
      </c>
      <c r="E273" s="18" t="s">
        <v>215</v>
      </c>
      <c r="F273" s="18"/>
      <c r="G273" s="18" t="s">
        <v>14</v>
      </c>
      <c r="H273" s="19" t="n">
        <v>43091.1257388773</v>
      </c>
      <c r="I273" s="20" t="n">
        <v>43091.1257388773</v>
      </c>
      <c r="J273" s="19" t="n">
        <v>43088.5473314931</v>
      </c>
      <c r="K273" s="20" t="n">
        <v>43088.5473314931</v>
      </c>
      <c r="L273" s="18" t="s">
        <v>15</v>
      </c>
      <c r="M273" s="18"/>
      <c r="N273" s="18"/>
      <c r="O273" s="18"/>
      <c r="P273" s="18" t="s">
        <v>16</v>
      </c>
    </row>
    <row collapsed="false" customFormat="false" customHeight="true" hidden="false" ht="25.5" outlineLevel="0" r="274">
      <c r="A274" s="18" t="s">
        <v>678</v>
      </c>
      <c r="B274" s="18" t="s">
        <v>679</v>
      </c>
      <c r="C274" s="18"/>
      <c r="D274" s="18" t="s">
        <v>680</v>
      </c>
      <c r="E274" s="18" t="s">
        <v>126</v>
      </c>
      <c r="F274" s="18"/>
      <c r="G274" s="18" t="s">
        <v>14</v>
      </c>
      <c r="H274" s="19" t="n">
        <v>43098.3786975231</v>
      </c>
      <c r="I274" s="20" t="n">
        <v>43098.3786975231</v>
      </c>
      <c r="J274" s="19" t="n">
        <v>43089.5033876852</v>
      </c>
      <c r="K274" s="20" t="n">
        <v>43089.5033876852</v>
      </c>
      <c r="L274" s="18" t="s">
        <v>15</v>
      </c>
      <c r="M274" s="18"/>
      <c r="N274" s="18"/>
      <c r="O274" s="18"/>
      <c r="P274" s="18" t="s">
        <v>16</v>
      </c>
    </row>
    <row collapsed="false" customFormat="false" customHeight="true" hidden="false" ht="25.5" outlineLevel="0" r="275">
      <c r="A275" s="18" t="s">
        <v>681</v>
      </c>
      <c r="B275" s="18" t="s">
        <v>300</v>
      </c>
      <c r="C275" s="18"/>
      <c r="D275" s="18" t="s">
        <v>125</v>
      </c>
      <c r="E275" s="18" t="s">
        <v>126</v>
      </c>
      <c r="F275" s="18"/>
      <c r="G275" s="18" t="s">
        <v>14</v>
      </c>
      <c r="H275" s="19" t="n">
        <v>43098.3856718287</v>
      </c>
      <c r="I275" s="20" t="n">
        <v>43098.3856718287</v>
      </c>
      <c r="J275" s="19" t="n">
        <v>43089.5203120833</v>
      </c>
      <c r="K275" s="20" t="n">
        <v>43089.5203120833</v>
      </c>
      <c r="L275" s="18" t="s">
        <v>15</v>
      </c>
      <c r="M275" s="18"/>
      <c r="N275" s="18"/>
      <c r="O275" s="18"/>
      <c r="P275" s="18" t="s">
        <v>16</v>
      </c>
    </row>
    <row collapsed="false" customFormat="false" customHeight="true" hidden="false" ht="25.5" outlineLevel="0" r="276">
      <c r="A276" s="18" t="s">
        <v>682</v>
      </c>
      <c r="B276" s="18" t="s">
        <v>683</v>
      </c>
      <c r="C276" s="18"/>
      <c r="D276" s="18" t="s">
        <v>375</v>
      </c>
      <c r="E276" s="18" t="s">
        <v>45</v>
      </c>
      <c r="F276" s="18"/>
      <c r="G276" s="18" t="s">
        <v>14</v>
      </c>
      <c r="H276" s="19" t="n">
        <v>43105.7105337384</v>
      </c>
      <c r="I276" s="20" t="n">
        <v>43105.7105337384</v>
      </c>
      <c r="J276" s="19" t="n">
        <v>43089.5922535995</v>
      </c>
      <c r="K276" s="20" t="n">
        <v>43089.5922535995</v>
      </c>
      <c r="L276" s="18" t="s">
        <v>15</v>
      </c>
      <c r="M276" s="18"/>
      <c r="N276" s="18"/>
      <c r="O276" s="18"/>
      <c r="P276" s="18" t="s">
        <v>16</v>
      </c>
    </row>
    <row collapsed="false" customFormat="false" customHeight="true" hidden="false" ht="25.5" outlineLevel="0" r="277">
      <c r="A277" s="18" t="s">
        <v>684</v>
      </c>
      <c r="B277" s="18" t="s">
        <v>685</v>
      </c>
      <c r="C277" s="18"/>
      <c r="D277" s="18" t="s">
        <v>392</v>
      </c>
      <c r="E277" s="18" t="s">
        <v>615</v>
      </c>
      <c r="F277" s="18"/>
      <c r="G277" s="18" t="s">
        <v>14</v>
      </c>
      <c r="H277" s="19" t="n">
        <v>43100.642903125</v>
      </c>
      <c r="I277" s="20" t="n">
        <v>43100.642903125</v>
      </c>
      <c r="J277" s="19" t="n">
        <v>43095.9701985764</v>
      </c>
      <c r="K277" s="20" t="n">
        <v>43095.9701985764</v>
      </c>
      <c r="L277" s="18" t="s">
        <v>15</v>
      </c>
      <c r="M277" s="18"/>
      <c r="N277" s="18"/>
      <c r="O277" s="18"/>
      <c r="P277" s="18" t="s">
        <v>16</v>
      </c>
    </row>
    <row collapsed="false" customFormat="false" customHeight="true" hidden="false" ht="25.5" outlineLevel="0" r="278">
      <c r="A278" s="18" t="s">
        <v>686</v>
      </c>
      <c r="B278" s="18" t="s">
        <v>687</v>
      </c>
      <c r="C278" s="18"/>
      <c r="D278" s="18" t="s">
        <v>688</v>
      </c>
      <c r="E278" s="18" t="s">
        <v>28</v>
      </c>
      <c r="F278" s="18"/>
      <c r="G278" s="18" t="s">
        <v>14</v>
      </c>
      <c r="H278" s="19" t="n">
        <v>43099.6358151852</v>
      </c>
      <c r="I278" s="20" t="n">
        <v>43099.6358151852</v>
      </c>
      <c r="J278" s="19" t="n">
        <v>43095.97416875</v>
      </c>
      <c r="K278" s="20" t="n">
        <v>43095.97416875</v>
      </c>
      <c r="L278" s="18" t="s">
        <v>15</v>
      </c>
      <c r="M278" s="18"/>
      <c r="N278" s="18"/>
      <c r="O278" s="18"/>
      <c r="P278" s="18" t="s">
        <v>16</v>
      </c>
    </row>
    <row collapsed="false" customFormat="false" customHeight="true" hidden="false" ht="25.5" outlineLevel="0" r="279">
      <c r="A279" s="18" t="s">
        <v>689</v>
      </c>
      <c r="B279" s="18" t="s">
        <v>206</v>
      </c>
      <c r="C279" s="18"/>
      <c r="D279" s="18" t="s">
        <v>690</v>
      </c>
      <c r="E279" s="18" t="s">
        <v>208</v>
      </c>
      <c r="F279" s="18"/>
      <c r="G279" s="18" t="s">
        <v>14</v>
      </c>
      <c r="H279" s="19" t="n">
        <v>43099.1258071644</v>
      </c>
      <c r="I279" s="20" t="n">
        <v>43099.1258071644</v>
      </c>
      <c r="J279" s="19" t="n">
        <v>43096.5095893171</v>
      </c>
      <c r="K279" s="20" t="n">
        <v>43096.5095893171</v>
      </c>
      <c r="L279" s="18" t="s">
        <v>15</v>
      </c>
      <c r="M279" s="18"/>
      <c r="N279" s="18"/>
      <c r="O279" s="18"/>
      <c r="P279" s="18" t="s">
        <v>16</v>
      </c>
    </row>
    <row collapsed="false" customFormat="false" customHeight="true" hidden="false" ht="25.5" outlineLevel="0" r="280">
      <c r="A280" s="18" t="s">
        <v>691</v>
      </c>
      <c r="B280" s="18" t="s">
        <v>692</v>
      </c>
      <c r="C280" s="18"/>
      <c r="D280" s="18" t="s">
        <v>693</v>
      </c>
      <c r="E280" s="18" t="s">
        <v>693</v>
      </c>
      <c r="F280" s="18"/>
      <c r="G280" s="18" t="s">
        <v>14</v>
      </c>
      <c r="H280" s="19" t="n">
        <v>43121.6250440972</v>
      </c>
      <c r="I280" s="20" t="n">
        <v>43121.6250440972</v>
      </c>
      <c r="J280" s="19" t="n">
        <v>43096.517633206</v>
      </c>
      <c r="K280" s="20" t="n">
        <v>43096.517633206</v>
      </c>
      <c r="L280" s="18" t="s">
        <v>15</v>
      </c>
      <c r="M280" s="18"/>
      <c r="N280" s="18"/>
      <c r="O280" s="18"/>
      <c r="P280" s="18" t="s">
        <v>16</v>
      </c>
    </row>
    <row collapsed="false" customFormat="false" customHeight="true" hidden="false" ht="25.5" outlineLevel="0" r="281">
      <c r="A281" s="18" t="s">
        <v>694</v>
      </c>
      <c r="B281" s="18" t="s">
        <v>695</v>
      </c>
      <c r="C281" s="18"/>
      <c r="D281" s="18" t="s">
        <v>696</v>
      </c>
      <c r="E281" s="18" t="s">
        <v>615</v>
      </c>
      <c r="F281" s="18"/>
      <c r="G281" s="18" t="s">
        <v>14</v>
      </c>
      <c r="H281" s="19" t="n">
        <v>43101.476357662</v>
      </c>
      <c r="I281" s="20" t="n">
        <v>43101.476357662</v>
      </c>
      <c r="J281" s="19" t="n">
        <v>43096.7241504745</v>
      </c>
      <c r="K281" s="20" t="n">
        <v>43096.7241504745</v>
      </c>
      <c r="L281" s="18" t="s">
        <v>15</v>
      </c>
      <c r="M281" s="18"/>
      <c r="N281" s="18"/>
      <c r="O281" s="18"/>
      <c r="P281" s="18" t="s">
        <v>16</v>
      </c>
    </row>
    <row collapsed="false" customFormat="false" customHeight="true" hidden="false" ht="25.5" outlineLevel="0" r="282">
      <c r="A282" s="18" t="s">
        <v>697</v>
      </c>
      <c r="B282" s="18" t="s">
        <v>698</v>
      </c>
      <c r="C282" s="18"/>
      <c r="D282" s="18" t="s">
        <v>479</v>
      </c>
      <c r="E282" s="18" t="s">
        <v>20</v>
      </c>
      <c r="F282" s="18"/>
      <c r="G282" s="18" t="s">
        <v>14</v>
      </c>
      <c r="H282" s="19" t="n">
        <v>43104.1256940857</v>
      </c>
      <c r="I282" s="20" t="n">
        <v>43104.1256940857</v>
      </c>
      <c r="J282" s="19" t="n">
        <v>43097.5416846296</v>
      </c>
      <c r="K282" s="20" t="n">
        <v>43097.5416846296</v>
      </c>
      <c r="L282" s="18" t="s">
        <v>15</v>
      </c>
      <c r="M282" s="18"/>
      <c r="N282" s="18"/>
      <c r="O282" s="18"/>
      <c r="P282" s="18" t="s">
        <v>58</v>
      </c>
    </row>
    <row collapsed="false" customFormat="false" customHeight="true" hidden="false" ht="25.5" outlineLevel="0" r="283">
      <c r="A283" s="18" t="s">
        <v>699</v>
      </c>
      <c r="B283" s="18" t="s">
        <v>700</v>
      </c>
      <c r="C283" s="18"/>
      <c r="D283" s="18" t="s">
        <v>154</v>
      </c>
      <c r="E283" s="18" t="s">
        <v>72</v>
      </c>
      <c r="F283" s="18"/>
      <c r="G283" s="18" t="s">
        <v>14</v>
      </c>
      <c r="H283" s="19" t="n">
        <v>43124.2083886111</v>
      </c>
      <c r="I283" s="20" t="n">
        <v>43124.2083886111</v>
      </c>
      <c r="J283" s="19" t="n">
        <v>43102.4996884144</v>
      </c>
      <c r="K283" s="20" t="n">
        <v>43102.4996884144</v>
      </c>
      <c r="L283" s="18" t="s">
        <v>15</v>
      </c>
      <c r="M283" s="18"/>
      <c r="N283" s="18"/>
      <c r="O283" s="18"/>
      <c r="P283" s="18" t="s">
        <v>16</v>
      </c>
    </row>
    <row collapsed="false" customFormat="false" customHeight="true" hidden="false" ht="25.5" outlineLevel="0" r="284">
      <c r="A284" s="18" t="s">
        <v>701</v>
      </c>
      <c r="B284" s="18" t="s">
        <v>206</v>
      </c>
      <c r="C284" s="18"/>
      <c r="D284" s="18" t="s">
        <v>702</v>
      </c>
      <c r="E284" s="18" t="s">
        <v>208</v>
      </c>
      <c r="F284" s="18"/>
      <c r="G284" s="18" t="s">
        <v>14</v>
      </c>
      <c r="H284" s="19" t="n">
        <v>43105.7105848843</v>
      </c>
      <c r="I284" s="20" t="n">
        <v>43105.7105848843</v>
      </c>
      <c r="J284" s="19" t="n">
        <v>43102.5252902315</v>
      </c>
      <c r="K284" s="20" t="n">
        <v>43102.5252902315</v>
      </c>
      <c r="L284" s="18" t="s">
        <v>15</v>
      </c>
      <c r="M284" s="18"/>
      <c r="N284" s="18"/>
      <c r="O284" s="18"/>
      <c r="P284" s="18" t="s">
        <v>16</v>
      </c>
    </row>
    <row collapsed="false" customFormat="false" customHeight="true" hidden="false" ht="25.5" outlineLevel="0" r="285">
      <c r="A285" s="18" t="s">
        <v>703</v>
      </c>
      <c r="B285" s="18" t="s">
        <v>312</v>
      </c>
      <c r="C285" s="18"/>
      <c r="D285" s="18" t="s">
        <v>54</v>
      </c>
      <c r="E285" s="18" t="s">
        <v>72</v>
      </c>
      <c r="F285" s="18"/>
      <c r="G285" s="18" t="s">
        <v>14</v>
      </c>
      <c r="H285" s="19" t="n">
        <v>43104.6670991088</v>
      </c>
      <c r="I285" s="20" t="n">
        <v>43104.6670991088</v>
      </c>
      <c r="J285" s="19" t="n">
        <v>43102.5268348495</v>
      </c>
      <c r="K285" s="20" t="n">
        <v>43102.5268348495</v>
      </c>
      <c r="L285" s="18" t="s">
        <v>15</v>
      </c>
      <c r="M285" s="18"/>
      <c r="N285" s="18"/>
      <c r="O285" s="18"/>
      <c r="P285" s="18" t="s">
        <v>58</v>
      </c>
    </row>
    <row collapsed="false" customFormat="false" customHeight="true" hidden="false" ht="25.5" outlineLevel="0" r="286">
      <c r="A286" s="18" t="s">
        <v>704</v>
      </c>
      <c r="B286" s="18" t="s">
        <v>705</v>
      </c>
      <c r="C286" s="18"/>
      <c r="D286" s="18" t="s">
        <v>54</v>
      </c>
      <c r="E286" s="18" t="s">
        <v>72</v>
      </c>
      <c r="F286" s="18"/>
      <c r="G286" s="18" t="s">
        <v>14</v>
      </c>
      <c r="H286" s="19" t="n">
        <v>43105.1257374653</v>
      </c>
      <c r="I286" s="20" t="n">
        <v>43105.1257374653</v>
      </c>
      <c r="J286" s="19" t="n">
        <v>43102.6033349421</v>
      </c>
      <c r="K286" s="20" t="n">
        <v>43102.6033349421</v>
      </c>
      <c r="L286" s="18" t="s">
        <v>15</v>
      </c>
      <c r="M286" s="18"/>
      <c r="N286" s="18"/>
      <c r="O286" s="18"/>
      <c r="P286" s="18" t="s">
        <v>16</v>
      </c>
    </row>
    <row collapsed="false" customFormat="false" customHeight="true" hidden="false" ht="25.5" outlineLevel="0" r="287">
      <c r="A287" s="18" t="s">
        <v>706</v>
      </c>
      <c r="B287" s="18" t="s">
        <v>707</v>
      </c>
      <c r="C287" s="18"/>
      <c r="D287" s="18" t="s">
        <v>708</v>
      </c>
      <c r="E287" s="18" t="s">
        <v>115</v>
      </c>
      <c r="F287" s="18"/>
      <c r="G287" s="18" t="s">
        <v>14</v>
      </c>
      <c r="H287" s="19" t="n">
        <v>43104.7087765857</v>
      </c>
      <c r="I287" s="20" t="n">
        <v>43104.7087765857</v>
      </c>
      <c r="J287" s="19" t="n">
        <v>43102.7370180903</v>
      </c>
      <c r="K287" s="20" t="n">
        <v>43102.7370180903</v>
      </c>
      <c r="L287" s="18" t="s">
        <v>15</v>
      </c>
      <c r="M287" s="18"/>
      <c r="N287" s="18"/>
      <c r="O287" s="18"/>
      <c r="P287" s="18" t="s">
        <v>58</v>
      </c>
    </row>
    <row collapsed="false" customFormat="false" customHeight="true" hidden="false" ht="25.5" outlineLevel="0" r="288">
      <c r="A288" s="18" t="s">
        <v>709</v>
      </c>
      <c r="B288" s="18" t="s">
        <v>710</v>
      </c>
      <c r="C288" s="18"/>
      <c r="D288" s="18" t="s">
        <v>154</v>
      </c>
      <c r="E288" s="18" t="s">
        <v>55</v>
      </c>
      <c r="F288" s="18"/>
      <c r="G288" s="18" t="s">
        <v>14</v>
      </c>
      <c r="H288" s="19" t="n">
        <v>43124.2083911806</v>
      </c>
      <c r="I288" s="20" t="n">
        <v>43124.2083911806</v>
      </c>
      <c r="J288" s="19" t="n">
        <v>43102.7447668287</v>
      </c>
      <c r="K288" s="20" t="n">
        <v>43102.7447668287</v>
      </c>
      <c r="L288" s="18" t="s">
        <v>15</v>
      </c>
      <c r="M288" s="18"/>
      <c r="N288" s="18"/>
      <c r="O288" s="18"/>
      <c r="P288" s="18" t="s">
        <v>16</v>
      </c>
    </row>
    <row collapsed="false" customFormat="false" customHeight="true" hidden="false" ht="25.5" outlineLevel="0" r="289">
      <c r="A289" s="18" t="s">
        <v>711</v>
      </c>
      <c r="B289" s="18" t="s">
        <v>712</v>
      </c>
      <c r="C289" s="18"/>
      <c r="D289" s="18" t="s">
        <v>713</v>
      </c>
      <c r="E289" s="18" t="s">
        <v>215</v>
      </c>
      <c r="F289" s="18"/>
      <c r="G289" s="18" t="s">
        <v>14</v>
      </c>
      <c r="H289" s="19" t="n">
        <v>43105.7108248611</v>
      </c>
      <c r="I289" s="20" t="n">
        <v>43105.7108248611</v>
      </c>
      <c r="J289" s="19" t="n">
        <v>43103.6554996181</v>
      </c>
      <c r="K289" s="20" t="n">
        <v>43103.6554996181</v>
      </c>
      <c r="L289" s="18" t="s">
        <v>15</v>
      </c>
      <c r="M289" s="18"/>
      <c r="N289" s="18"/>
      <c r="O289" s="18"/>
      <c r="P289" s="18" t="s">
        <v>16</v>
      </c>
    </row>
    <row collapsed="false" customFormat="false" customHeight="true" hidden="false" ht="25.5" outlineLevel="0" r="290">
      <c r="A290" s="18" t="s">
        <v>714</v>
      </c>
      <c r="B290" s="18" t="s">
        <v>715</v>
      </c>
      <c r="C290" s="18"/>
      <c r="D290" s="18" t="s">
        <v>716</v>
      </c>
      <c r="E290" s="18" t="s">
        <v>81</v>
      </c>
      <c r="F290" s="18"/>
      <c r="G290" s="18" t="s">
        <v>14</v>
      </c>
      <c r="H290" s="19" t="n">
        <v>43110.1258966782</v>
      </c>
      <c r="I290" s="20" t="n">
        <v>43110.1258966782</v>
      </c>
      <c r="J290" s="19" t="n">
        <v>43105.5356910532</v>
      </c>
      <c r="K290" s="20" t="n">
        <v>43105.5356910532</v>
      </c>
      <c r="L290" s="18" t="s">
        <v>15</v>
      </c>
      <c r="M290" s="18"/>
      <c r="N290" s="18"/>
      <c r="O290" s="18"/>
      <c r="P290" s="18" t="s">
        <v>58</v>
      </c>
    </row>
    <row collapsed="false" customFormat="false" customHeight="true" hidden="false" ht="25.5" outlineLevel="0" r="291">
      <c r="A291" s="18" t="s">
        <v>717</v>
      </c>
      <c r="B291" s="18" t="s">
        <v>206</v>
      </c>
      <c r="C291" s="18"/>
      <c r="D291" s="18" t="s">
        <v>718</v>
      </c>
      <c r="E291" s="18" t="s">
        <v>208</v>
      </c>
      <c r="F291" s="18"/>
      <c r="G291" s="18" t="s">
        <v>14</v>
      </c>
      <c r="H291" s="19" t="n">
        <v>43112.167450081</v>
      </c>
      <c r="I291" s="20" t="n">
        <v>43112.167450081</v>
      </c>
      <c r="J291" s="19" t="n">
        <v>43108.365258125</v>
      </c>
      <c r="K291" s="20" t="n">
        <v>43108.365258125</v>
      </c>
      <c r="L291" s="18" t="s">
        <v>15</v>
      </c>
      <c r="M291" s="18"/>
      <c r="N291" s="18"/>
      <c r="O291" s="18"/>
      <c r="P291" s="18" t="s">
        <v>16</v>
      </c>
    </row>
    <row collapsed="false" customFormat="false" customHeight="true" hidden="false" ht="25.5" outlineLevel="0" r="292">
      <c r="A292" s="18" t="s">
        <v>719</v>
      </c>
      <c r="B292" s="18" t="s">
        <v>720</v>
      </c>
      <c r="C292" s="18"/>
      <c r="D292" s="18" t="s">
        <v>470</v>
      </c>
      <c r="E292" s="18" t="s">
        <v>470</v>
      </c>
      <c r="F292" s="18"/>
      <c r="G292" s="18" t="s">
        <v>14</v>
      </c>
      <c r="H292" s="19" t="n">
        <v>43114.3917928935</v>
      </c>
      <c r="I292" s="20" t="n">
        <v>43114.3917928935</v>
      </c>
      <c r="J292" s="19" t="n">
        <v>43109.5940910417</v>
      </c>
      <c r="K292" s="20" t="n">
        <v>43109.5940910417</v>
      </c>
      <c r="L292" s="18" t="s">
        <v>15</v>
      </c>
      <c r="M292" s="18"/>
      <c r="N292" s="18"/>
      <c r="O292" s="18"/>
      <c r="P292" s="18" t="s">
        <v>16</v>
      </c>
    </row>
    <row collapsed="false" customFormat="false" customHeight="true" hidden="false" ht="25.5" outlineLevel="0" r="293">
      <c r="A293" s="18" t="s">
        <v>721</v>
      </c>
      <c r="B293" s="18" t="s">
        <v>561</v>
      </c>
      <c r="C293" s="18"/>
      <c r="D293" s="18" t="s">
        <v>722</v>
      </c>
      <c r="E293" s="18" t="s">
        <v>281</v>
      </c>
      <c r="F293" s="18"/>
      <c r="G293" s="18" t="s">
        <v>14</v>
      </c>
      <c r="H293" s="19" t="n">
        <v>43111.4174210764</v>
      </c>
      <c r="I293" s="20" t="n">
        <v>43111.4174210764</v>
      </c>
      <c r="J293" s="19" t="n">
        <v>43109.6073847685</v>
      </c>
      <c r="K293" s="20" t="n">
        <v>43109.6073847685</v>
      </c>
      <c r="L293" s="18" t="s">
        <v>15</v>
      </c>
      <c r="M293" s="18"/>
      <c r="N293" s="18"/>
      <c r="O293" s="18"/>
      <c r="P293" s="18" t="s">
        <v>16</v>
      </c>
    </row>
    <row collapsed="false" customFormat="false" customHeight="true" hidden="false" ht="25.5" outlineLevel="0" r="294">
      <c r="A294" s="18" t="s">
        <v>723</v>
      </c>
      <c r="B294" s="18" t="s">
        <v>724</v>
      </c>
      <c r="C294" s="18"/>
      <c r="D294" s="18" t="s">
        <v>725</v>
      </c>
      <c r="E294" s="18" t="s">
        <v>115</v>
      </c>
      <c r="F294" s="18"/>
      <c r="G294" s="18" t="s">
        <v>14</v>
      </c>
      <c r="H294" s="19" t="n">
        <v>43113.1259340857</v>
      </c>
      <c r="I294" s="20" t="n">
        <v>43113.1259340857</v>
      </c>
      <c r="J294" s="19" t="n">
        <v>43110.4037573032</v>
      </c>
      <c r="K294" s="20" t="n">
        <v>43110.4037573032</v>
      </c>
      <c r="L294" s="18" t="s">
        <v>15</v>
      </c>
      <c r="M294" s="18"/>
      <c r="N294" s="18"/>
      <c r="O294" s="18"/>
      <c r="P294" s="18" t="s">
        <v>16</v>
      </c>
    </row>
    <row collapsed="false" customFormat="false" customHeight="true" hidden="false" ht="25.5" outlineLevel="0" r="295">
      <c r="A295" s="18" t="s">
        <v>726</v>
      </c>
      <c r="B295" s="18" t="s">
        <v>727</v>
      </c>
      <c r="C295" s="18"/>
      <c r="D295" s="18" t="s">
        <v>728</v>
      </c>
      <c r="E295" s="18" t="s">
        <v>13</v>
      </c>
      <c r="F295" s="18"/>
      <c r="G295" s="18" t="s">
        <v>14</v>
      </c>
      <c r="H295" s="19" t="n">
        <v>43112.1260002315</v>
      </c>
      <c r="I295" s="20" t="n">
        <v>43112.1260002315</v>
      </c>
      <c r="J295" s="19" t="n">
        <v>43110.4357826852</v>
      </c>
      <c r="K295" s="20" t="n">
        <v>43110.4357826852</v>
      </c>
      <c r="L295" s="18" t="s">
        <v>15</v>
      </c>
      <c r="M295" s="18"/>
      <c r="N295" s="18"/>
      <c r="O295" s="18"/>
      <c r="P295" s="18" t="s">
        <v>16</v>
      </c>
    </row>
    <row collapsed="false" customFormat="false" customHeight="true" hidden="false" ht="25.5" outlineLevel="0" r="296">
      <c r="A296" s="18" t="s">
        <v>729</v>
      </c>
      <c r="B296" s="18" t="s">
        <v>730</v>
      </c>
      <c r="C296" s="18"/>
      <c r="D296" s="18" t="s">
        <v>61</v>
      </c>
      <c r="E296" s="18" t="s">
        <v>72</v>
      </c>
      <c r="F296" s="18"/>
      <c r="G296" s="18" t="s">
        <v>14</v>
      </c>
      <c r="H296" s="19" t="n">
        <v>43114.516807662</v>
      </c>
      <c r="I296" s="20" t="n">
        <v>43114.516807662</v>
      </c>
      <c r="J296" s="19" t="n">
        <v>43110.6014603472</v>
      </c>
      <c r="K296" s="20" t="n">
        <v>43110.6014603472</v>
      </c>
      <c r="L296" s="18" t="s">
        <v>15</v>
      </c>
      <c r="M296" s="18"/>
      <c r="N296" s="18"/>
      <c r="O296" s="18"/>
      <c r="P296" s="18" t="s">
        <v>16</v>
      </c>
    </row>
    <row collapsed="false" customFormat="false" customHeight="true" hidden="false" ht="25.5" outlineLevel="0" r="297">
      <c r="A297" s="18" t="s">
        <v>731</v>
      </c>
      <c r="B297" s="18" t="s">
        <v>732</v>
      </c>
      <c r="C297" s="18"/>
      <c r="D297" s="18" t="s">
        <v>445</v>
      </c>
      <c r="E297" s="18" t="s">
        <v>72</v>
      </c>
      <c r="F297" s="18"/>
      <c r="G297" s="18" t="s">
        <v>14</v>
      </c>
      <c r="H297" s="19" t="n">
        <v>43113.1260295023</v>
      </c>
      <c r="I297" s="20" t="n">
        <v>43113.1260295023</v>
      </c>
      <c r="J297" s="19" t="n">
        <v>43111.4004601736</v>
      </c>
      <c r="K297" s="20" t="n">
        <v>43111.4004601736</v>
      </c>
      <c r="L297" s="18" t="s">
        <v>15</v>
      </c>
      <c r="M297" s="18"/>
      <c r="N297" s="18"/>
      <c r="O297" s="18"/>
      <c r="P297" s="18" t="s">
        <v>16</v>
      </c>
    </row>
    <row collapsed="false" customFormat="false" customHeight="true" hidden="false" ht="25.5" outlineLevel="0" r="298">
      <c r="A298" s="18" t="s">
        <v>733</v>
      </c>
      <c r="B298" s="18" t="s">
        <v>734</v>
      </c>
      <c r="C298" s="18"/>
      <c r="D298" s="18" t="s">
        <v>586</v>
      </c>
      <c r="E298" s="18" t="s">
        <v>28</v>
      </c>
      <c r="F298" s="18"/>
      <c r="G298" s="18" t="s">
        <v>14</v>
      </c>
      <c r="H298" s="19" t="n">
        <v>43119.6479190972</v>
      </c>
      <c r="I298" s="20" t="n">
        <v>43119.6479190972</v>
      </c>
      <c r="J298" s="19" t="n">
        <v>43112.9237752315</v>
      </c>
      <c r="K298" s="20" t="n">
        <v>43112.9237752315</v>
      </c>
      <c r="L298" s="18" t="s">
        <v>15</v>
      </c>
      <c r="M298" s="18"/>
      <c r="N298" s="18"/>
      <c r="O298" s="18"/>
      <c r="P298" s="18" t="s">
        <v>16</v>
      </c>
    </row>
    <row collapsed="false" customFormat="false" customHeight="true" hidden="false" ht="25.5" outlineLevel="0" r="299">
      <c r="A299" s="18" t="s">
        <v>735</v>
      </c>
      <c r="B299" s="18" t="s">
        <v>736</v>
      </c>
      <c r="C299" s="18"/>
      <c r="D299" s="18" t="s">
        <v>154</v>
      </c>
      <c r="E299" s="18" t="s">
        <v>50</v>
      </c>
      <c r="F299" s="18"/>
      <c r="G299" s="18" t="s">
        <v>14</v>
      </c>
      <c r="H299" s="19" t="n">
        <v>43154.2501271065</v>
      </c>
      <c r="I299" s="20" t="n">
        <v>43154.2501271065</v>
      </c>
      <c r="J299" s="19" t="n">
        <v>43113.1293707523</v>
      </c>
      <c r="K299" s="20" t="n">
        <v>43113.1293707523</v>
      </c>
      <c r="L299" s="18" t="s">
        <v>15</v>
      </c>
      <c r="M299" s="18"/>
      <c r="N299" s="18"/>
      <c r="O299" s="18"/>
      <c r="P299" s="18" t="s">
        <v>16</v>
      </c>
    </row>
    <row collapsed="false" customFormat="false" customHeight="true" hidden="false" ht="25.5" outlineLevel="0" r="300">
      <c r="A300" s="18" t="s">
        <v>737</v>
      </c>
      <c r="B300" s="18" t="s">
        <v>738</v>
      </c>
      <c r="C300" s="18"/>
      <c r="D300" s="18" t="s">
        <v>739</v>
      </c>
      <c r="E300" s="18" t="s">
        <v>126</v>
      </c>
      <c r="F300" s="18"/>
      <c r="G300" s="18" t="s">
        <v>14</v>
      </c>
      <c r="H300" s="19" t="n">
        <v>43117.6673624537</v>
      </c>
      <c r="I300" s="20" t="n">
        <v>43117.6673624537</v>
      </c>
      <c r="J300" s="19" t="n">
        <v>43115.4801462037</v>
      </c>
      <c r="K300" s="20" t="n">
        <v>43115.4801462037</v>
      </c>
      <c r="L300" s="18" t="s">
        <v>15</v>
      </c>
      <c r="M300" s="18"/>
      <c r="N300" s="18"/>
      <c r="O300" s="18"/>
      <c r="P300" s="18" t="s">
        <v>58</v>
      </c>
    </row>
    <row collapsed="false" customFormat="false" customHeight="true" hidden="false" ht="25.5" outlineLevel="0" r="301">
      <c r="A301" s="18" t="s">
        <v>740</v>
      </c>
      <c r="B301" s="18" t="s">
        <v>741</v>
      </c>
      <c r="C301" s="18"/>
      <c r="D301" s="18" t="s">
        <v>487</v>
      </c>
      <c r="E301" s="18" t="s">
        <v>208</v>
      </c>
      <c r="F301" s="18"/>
      <c r="G301" s="18" t="s">
        <v>14</v>
      </c>
      <c r="H301" s="19" t="n">
        <v>43124.1259859607</v>
      </c>
      <c r="I301" s="20" t="n">
        <v>43124.1259859607</v>
      </c>
      <c r="J301" s="19" t="n">
        <v>43115.6348342477</v>
      </c>
      <c r="K301" s="20" t="n">
        <v>43115.6348342477</v>
      </c>
      <c r="L301" s="18" t="s">
        <v>15</v>
      </c>
      <c r="M301" s="18"/>
      <c r="N301" s="18"/>
      <c r="O301" s="18"/>
      <c r="P301" s="18" t="s">
        <v>16</v>
      </c>
    </row>
    <row collapsed="false" customFormat="false" customHeight="true" hidden="false" ht="25.5" outlineLevel="0" r="302">
      <c r="A302" s="18" t="s">
        <v>742</v>
      </c>
      <c r="B302" s="18" t="s">
        <v>347</v>
      </c>
      <c r="C302" s="18"/>
      <c r="D302" s="18" t="s">
        <v>339</v>
      </c>
      <c r="E302" s="18" t="s">
        <v>339</v>
      </c>
      <c r="F302" s="18"/>
      <c r="G302" s="18" t="s">
        <v>14</v>
      </c>
      <c r="H302" s="19" t="n">
        <v>43119.125841088</v>
      </c>
      <c r="I302" s="20" t="n">
        <v>43119.125841088</v>
      </c>
      <c r="J302" s="19" t="n">
        <v>43115.6609987847</v>
      </c>
      <c r="K302" s="20" t="n">
        <v>43115.6609987847</v>
      </c>
      <c r="L302" s="18" t="s">
        <v>15</v>
      </c>
      <c r="M302" s="18"/>
      <c r="N302" s="18"/>
      <c r="O302" s="18"/>
      <c r="P302" s="18" t="s">
        <v>16</v>
      </c>
    </row>
    <row collapsed="false" customFormat="false" customHeight="true" hidden="false" ht="25.5" outlineLevel="0" r="303">
      <c r="A303" s="18" t="s">
        <v>743</v>
      </c>
      <c r="B303" s="18" t="s">
        <v>744</v>
      </c>
      <c r="C303" s="18"/>
      <c r="D303" s="18" t="s">
        <v>140</v>
      </c>
      <c r="E303" s="18" t="s">
        <v>72</v>
      </c>
      <c r="F303" s="18"/>
      <c r="G303" s="18" t="s">
        <v>14</v>
      </c>
      <c r="H303" s="19" t="n">
        <v>43122.3632832523</v>
      </c>
      <c r="I303" s="20" t="n">
        <v>43122.3632832523</v>
      </c>
      <c r="J303" s="19" t="n">
        <v>43115.7100600463</v>
      </c>
      <c r="K303" s="20" t="n">
        <v>43115.7100600463</v>
      </c>
      <c r="L303" s="18" t="s">
        <v>15</v>
      </c>
      <c r="M303" s="18"/>
      <c r="N303" s="18"/>
      <c r="O303" s="18"/>
      <c r="P303" s="18" t="s">
        <v>16</v>
      </c>
    </row>
    <row collapsed="false" customFormat="false" customHeight="true" hidden="false" ht="25.5" outlineLevel="0" r="304">
      <c r="A304" s="18" t="s">
        <v>745</v>
      </c>
      <c r="B304" s="18" t="s">
        <v>746</v>
      </c>
      <c r="C304" s="18"/>
      <c r="D304" s="18" t="s">
        <v>728</v>
      </c>
      <c r="E304" s="18" t="s">
        <v>208</v>
      </c>
      <c r="F304" s="18"/>
      <c r="G304" s="18" t="s">
        <v>14</v>
      </c>
      <c r="H304" s="19" t="n">
        <v>43126.3333931019</v>
      </c>
      <c r="I304" s="20" t="n">
        <v>43126.3333931019</v>
      </c>
      <c r="J304" s="19" t="n">
        <v>43116.4134404398</v>
      </c>
      <c r="K304" s="20" t="n">
        <v>43116.4134404398</v>
      </c>
      <c r="L304" s="18" t="s">
        <v>15</v>
      </c>
      <c r="M304" s="18"/>
      <c r="N304" s="18"/>
      <c r="O304" s="18"/>
      <c r="P304" s="18" t="s">
        <v>16</v>
      </c>
    </row>
    <row collapsed="false" customFormat="false" customHeight="true" hidden="false" ht="25.5" outlineLevel="0" r="305">
      <c r="A305" s="18" t="s">
        <v>747</v>
      </c>
      <c r="B305" s="18" t="s">
        <v>748</v>
      </c>
      <c r="C305" s="18"/>
      <c r="D305" s="18" t="s">
        <v>749</v>
      </c>
      <c r="E305" s="18" t="s">
        <v>72</v>
      </c>
      <c r="F305" s="18"/>
      <c r="G305" s="18" t="s">
        <v>14</v>
      </c>
      <c r="H305" s="19" t="n">
        <v>43118.1556248958</v>
      </c>
      <c r="I305" s="20" t="n">
        <v>43118.1556248958</v>
      </c>
      <c r="J305" s="19" t="n">
        <v>43116.4271895718</v>
      </c>
      <c r="K305" s="20" t="n">
        <v>43116.4271895718</v>
      </c>
      <c r="L305" s="18" t="s">
        <v>15</v>
      </c>
      <c r="M305" s="18"/>
      <c r="N305" s="18"/>
      <c r="O305" s="18"/>
      <c r="P305" s="18" t="s">
        <v>16</v>
      </c>
    </row>
    <row collapsed="false" customFormat="false" customHeight="true" hidden="false" ht="25.5" outlineLevel="0" r="306">
      <c r="A306" s="18" t="s">
        <v>750</v>
      </c>
      <c r="B306" s="18" t="s">
        <v>751</v>
      </c>
      <c r="C306" s="18"/>
      <c r="D306" s="18" t="s">
        <v>752</v>
      </c>
      <c r="E306" s="18" t="s">
        <v>208</v>
      </c>
      <c r="F306" s="18"/>
      <c r="G306" s="18" t="s">
        <v>14</v>
      </c>
      <c r="H306" s="19" t="n">
        <v>43119.1254987616</v>
      </c>
      <c r="I306" s="20" t="n">
        <v>43119.1254987616</v>
      </c>
      <c r="J306" s="19" t="n">
        <v>43116.6927862616</v>
      </c>
      <c r="K306" s="20" t="n">
        <v>43116.6927862616</v>
      </c>
      <c r="L306" s="18" t="s">
        <v>15</v>
      </c>
      <c r="M306" s="18"/>
      <c r="N306" s="18"/>
      <c r="O306" s="18"/>
      <c r="P306" s="18" t="s">
        <v>16</v>
      </c>
    </row>
    <row collapsed="false" customFormat="false" customHeight="true" hidden="false" ht="25.5" outlineLevel="0" r="307">
      <c r="A307" s="18" t="s">
        <v>753</v>
      </c>
      <c r="B307" s="18" t="s">
        <v>754</v>
      </c>
      <c r="C307" s="18"/>
      <c r="D307" s="18" t="s">
        <v>755</v>
      </c>
      <c r="E307" s="18" t="s">
        <v>755</v>
      </c>
      <c r="F307" s="18"/>
      <c r="G307" s="18" t="s">
        <v>14</v>
      </c>
      <c r="H307" s="19" t="n">
        <v>43124.1259893634</v>
      </c>
      <c r="I307" s="20" t="n">
        <v>43124.1259893634</v>
      </c>
      <c r="J307" s="19" t="n">
        <v>43116.7045196065</v>
      </c>
      <c r="K307" s="20" t="n">
        <v>43116.7045196065</v>
      </c>
      <c r="L307" s="18" t="s">
        <v>15</v>
      </c>
      <c r="M307" s="18"/>
      <c r="N307" s="18"/>
      <c r="O307" s="18"/>
      <c r="P307" s="18" t="s">
        <v>16</v>
      </c>
    </row>
    <row collapsed="false" customFormat="false" customHeight="true" hidden="false" ht="25.5" outlineLevel="0" r="308">
      <c r="A308" s="18" t="s">
        <v>756</v>
      </c>
      <c r="B308" s="18" t="s">
        <v>757</v>
      </c>
      <c r="C308" s="18"/>
      <c r="D308" s="18" t="s">
        <v>758</v>
      </c>
      <c r="E308" s="18" t="s">
        <v>215</v>
      </c>
      <c r="F308" s="18"/>
      <c r="G308" s="18" t="s">
        <v>14</v>
      </c>
      <c r="H308" s="19" t="n">
        <v>43124.1251359722</v>
      </c>
      <c r="I308" s="20" t="n">
        <v>43124.1251359722</v>
      </c>
      <c r="J308" s="19" t="n">
        <v>43117.3519524421</v>
      </c>
      <c r="K308" s="20" t="n">
        <v>43117.3519524421</v>
      </c>
      <c r="L308" s="18" t="s">
        <v>15</v>
      </c>
      <c r="M308" s="18"/>
      <c r="N308" s="18"/>
      <c r="O308" s="18"/>
      <c r="P308" s="18" t="s">
        <v>16</v>
      </c>
    </row>
    <row collapsed="false" customFormat="false" customHeight="true" hidden="false" ht="25.5" outlineLevel="0" r="309">
      <c r="A309" s="18" t="s">
        <v>759</v>
      </c>
      <c r="B309" s="18" t="s">
        <v>760</v>
      </c>
      <c r="C309" s="18"/>
      <c r="D309" s="18" t="s">
        <v>758</v>
      </c>
      <c r="E309" s="18" t="s">
        <v>215</v>
      </c>
      <c r="F309" s="18"/>
      <c r="G309" s="18" t="s">
        <v>14</v>
      </c>
      <c r="H309" s="19" t="n">
        <v>43119.1256536574</v>
      </c>
      <c r="I309" s="20" t="n">
        <v>43119.1256536574</v>
      </c>
      <c r="J309" s="19" t="n">
        <v>43117.3586306019</v>
      </c>
      <c r="K309" s="20" t="n">
        <v>43117.3586306019</v>
      </c>
      <c r="L309" s="18" t="s">
        <v>15</v>
      </c>
      <c r="M309" s="18"/>
      <c r="N309" s="18"/>
      <c r="O309" s="18"/>
      <c r="P309" s="18" t="s">
        <v>58</v>
      </c>
    </row>
    <row collapsed="false" customFormat="false" customHeight="true" hidden="false" ht="25.5" outlineLevel="0" r="310">
      <c r="A310" s="18" t="s">
        <v>761</v>
      </c>
      <c r="B310" s="18" t="s">
        <v>762</v>
      </c>
      <c r="C310" s="18"/>
      <c r="D310" s="18" t="s">
        <v>763</v>
      </c>
      <c r="E310" s="18" t="s">
        <v>20</v>
      </c>
      <c r="F310" s="18"/>
      <c r="G310" s="18" t="s">
        <v>14</v>
      </c>
      <c r="H310" s="19" t="n">
        <v>43119.1257572801</v>
      </c>
      <c r="I310" s="20" t="n">
        <v>43119.1257572801</v>
      </c>
      <c r="J310" s="19" t="n">
        <v>43117.4941271528</v>
      </c>
      <c r="K310" s="20" t="n">
        <v>43117.4941271528</v>
      </c>
      <c r="L310" s="18" t="s">
        <v>15</v>
      </c>
      <c r="M310" s="18"/>
      <c r="N310" s="18"/>
      <c r="O310" s="18"/>
      <c r="P310" s="18" t="s">
        <v>58</v>
      </c>
    </row>
    <row collapsed="false" customFormat="false" customHeight="true" hidden="false" ht="25.5" outlineLevel="0" r="311">
      <c r="A311" s="18" t="s">
        <v>764</v>
      </c>
      <c r="B311" s="18" t="s">
        <v>765</v>
      </c>
      <c r="C311" s="18"/>
      <c r="D311" s="18" t="s">
        <v>84</v>
      </c>
      <c r="E311" s="18" t="s">
        <v>183</v>
      </c>
      <c r="F311" s="18"/>
      <c r="G311" s="18" t="s">
        <v>14</v>
      </c>
      <c r="H311" s="19" t="n">
        <v>43201.2089130208</v>
      </c>
      <c r="I311" s="20" t="n">
        <v>43201.2089130208</v>
      </c>
      <c r="J311" s="19" t="n">
        <v>43117.5447469907</v>
      </c>
      <c r="K311" s="20" t="n">
        <v>43117.5447469907</v>
      </c>
      <c r="L311" s="18" t="s">
        <v>15</v>
      </c>
      <c r="M311" s="18"/>
      <c r="N311" s="18"/>
      <c r="O311" s="18"/>
      <c r="P311" s="18" t="s">
        <v>16</v>
      </c>
    </row>
    <row collapsed="false" customFormat="false" customHeight="true" hidden="false" ht="25.5" outlineLevel="0" r="312">
      <c r="A312" s="18" t="s">
        <v>766</v>
      </c>
      <c r="B312" s="18" t="s">
        <v>767</v>
      </c>
      <c r="C312" s="18"/>
      <c r="D312" s="18" t="s">
        <v>768</v>
      </c>
      <c r="E312" s="18" t="s">
        <v>72</v>
      </c>
      <c r="F312" s="18"/>
      <c r="G312" s="18" t="s">
        <v>14</v>
      </c>
      <c r="H312" s="19" t="n">
        <v>43126.1262473843</v>
      </c>
      <c r="I312" s="20" t="n">
        <v>43126.1262473843</v>
      </c>
      <c r="J312" s="19" t="n">
        <v>43118.5579097338</v>
      </c>
      <c r="K312" s="20" t="n">
        <v>43118.5579097338</v>
      </c>
      <c r="L312" s="18" t="s">
        <v>15</v>
      </c>
      <c r="M312" s="18"/>
      <c r="N312" s="18"/>
      <c r="O312" s="18"/>
      <c r="P312" s="18" t="s">
        <v>16</v>
      </c>
    </row>
    <row collapsed="false" customFormat="false" customHeight="true" hidden="false" ht="25.5" outlineLevel="0" r="313">
      <c r="A313" s="18" t="s">
        <v>769</v>
      </c>
      <c r="B313" s="18" t="s">
        <v>561</v>
      </c>
      <c r="C313" s="18"/>
      <c r="D313" s="18" t="s">
        <v>556</v>
      </c>
      <c r="E313" s="18" t="s">
        <v>24</v>
      </c>
      <c r="F313" s="18"/>
      <c r="G313" s="18" t="s">
        <v>14</v>
      </c>
      <c r="H313" s="19" t="n">
        <v>43122.3333876968</v>
      </c>
      <c r="I313" s="20" t="n">
        <v>43122.3333876968</v>
      </c>
      <c r="J313" s="19" t="n">
        <v>43118.6174659954</v>
      </c>
      <c r="K313" s="20" t="n">
        <v>43118.6174659954</v>
      </c>
      <c r="L313" s="18" t="s">
        <v>15</v>
      </c>
      <c r="M313" s="18"/>
      <c r="N313" s="18"/>
      <c r="O313" s="18"/>
      <c r="P313" s="18" t="s">
        <v>16</v>
      </c>
    </row>
    <row collapsed="false" customFormat="false" customHeight="true" hidden="false" ht="25.5" outlineLevel="0" r="314">
      <c r="A314" s="18" t="s">
        <v>770</v>
      </c>
      <c r="B314" s="18" t="s">
        <v>771</v>
      </c>
      <c r="C314" s="18"/>
      <c r="D314" s="18" t="s">
        <v>728</v>
      </c>
      <c r="E314" s="18" t="s">
        <v>183</v>
      </c>
      <c r="F314" s="18"/>
      <c r="G314" s="18" t="s">
        <v>14</v>
      </c>
      <c r="H314" s="19" t="n">
        <v>43126.3334014352</v>
      </c>
      <c r="I314" s="20" t="n">
        <v>43126.3334014352</v>
      </c>
      <c r="J314" s="19" t="n">
        <v>43118.6589894907</v>
      </c>
      <c r="K314" s="20" t="n">
        <v>43118.6589894907</v>
      </c>
      <c r="L314" s="18" t="s">
        <v>15</v>
      </c>
      <c r="M314" s="18"/>
      <c r="N314" s="18"/>
      <c r="O314" s="18"/>
      <c r="P314" s="18" t="s">
        <v>16</v>
      </c>
    </row>
    <row collapsed="false" customFormat="false" customHeight="true" hidden="false" ht="25.5" outlineLevel="0" r="315">
      <c r="A315" s="18" t="s">
        <v>772</v>
      </c>
      <c r="B315" s="18" t="s">
        <v>773</v>
      </c>
      <c r="C315" s="18"/>
      <c r="D315" s="18" t="s">
        <v>61</v>
      </c>
      <c r="E315" s="18" t="s">
        <v>72</v>
      </c>
      <c r="F315" s="18"/>
      <c r="G315" s="18" t="s">
        <v>14</v>
      </c>
      <c r="H315" s="19" t="n">
        <v>43124.1254543287</v>
      </c>
      <c r="I315" s="20" t="n">
        <v>43124.1254543287</v>
      </c>
      <c r="J315" s="19" t="n">
        <v>43119.5141446875</v>
      </c>
      <c r="K315" s="20" t="n">
        <v>43119.5141446875</v>
      </c>
      <c r="L315" s="18" t="s">
        <v>15</v>
      </c>
      <c r="M315" s="18"/>
      <c r="N315" s="18"/>
      <c r="O315" s="18"/>
      <c r="P315" s="18" t="s">
        <v>58</v>
      </c>
    </row>
    <row collapsed="false" customFormat="false" customHeight="true" hidden="false" ht="25.5" outlineLevel="0" r="316">
      <c r="A316" s="18" t="s">
        <v>774</v>
      </c>
      <c r="B316" s="18" t="s">
        <v>585</v>
      </c>
      <c r="C316" s="18"/>
      <c r="D316" s="18" t="s">
        <v>586</v>
      </c>
      <c r="E316" s="18" t="s">
        <v>115</v>
      </c>
      <c r="F316" s="18"/>
      <c r="G316" s="18" t="s">
        <v>14</v>
      </c>
      <c r="H316" s="19" t="n">
        <v>43130.5133060648</v>
      </c>
      <c r="I316" s="20" t="n">
        <v>43130.5133060648</v>
      </c>
      <c r="J316" s="19" t="n">
        <v>43119.6725254514</v>
      </c>
      <c r="K316" s="20" t="n">
        <v>43119.6725254514</v>
      </c>
      <c r="L316" s="18" t="s">
        <v>15</v>
      </c>
      <c r="M316" s="18"/>
      <c r="N316" s="18"/>
      <c r="O316" s="18"/>
      <c r="P316" s="18" t="s">
        <v>16</v>
      </c>
    </row>
    <row collapsed="false" customFormat="false" customHeight="true" hidden="false" ht="25.5" outlineLevel="0" r="317">
      <c r="A317" s="18" t="s">
        <v>775</v>
      </c>
      <c r="B317" s="18" t="s">
        <v>776</v>
      </c>
      <c r="C317" s="18"/>
      <c r="D317" s="18" t="s">
        <v>61</v>
      </c>
      <c r="E317" s="18" t="s">
        <v>50</v>
      </c>
      <c r="F317" s="18"/>
      <c r="G317" s="18" t="s">
        <v>14</v>
      </c>
      <c r="H317" s="19" t="n">
        <v>43124.1256743171</v>
      </c>
      <c r="I317" s="20" t="n">
        <v>43124.1256743171</v>
      </c>
      <c r="J317" s="19" t="n">
        <v>43120.097347581</v>
      </c>
      <c r="K317" s="20" t="n">
        <v>43120.097347581</v>
      </c>
      <c r="L317" s="18" t="s">
        <v>15</v>
      </c>
      <c r="M317" s="18"/>
      <c r="N317" s="18"/>
      <c r="O317" s="18"/>
      <c r="P317" s="18" t="s">
        <v>58</v>
      </c>
    </row>
    <row collapsed="false" customFormat="false" customHeight="true" hidden="false" ht="25.5" outlineLevel="0" r="318">
      <c r="A318" s="18" t="s">
        <v>777</v>
      </c>
      <c r="B318" s="18" t="s">
        <v>778</v>
      </c>
      <c r="C318" s="18"/>
      <c r="D318" s="18" t="s">
        <v>592</v>
      </c>
      <c r="E318" s="18" t="s">
        <v>401</v>
      </c>
      <c r="F318" s="18"/>
      <c r="G318" s="18" t="s">
        <v>14</v>
      </c>
      <c r="H318" s="19" t="n">
        <v>43124.125798206</v>
      </c>
      <c r="I318" s="20" t="n">
        <v>43124.125798206</v>
      </c>
      <c r="J318" s="19" t="n">
        <v>43122.4213963426</v>
      </c>
      <c r="K318" s="20" t="n">
        <v>43122.4213963426</v>
      </c>
      <c r="L318" s="18" t="s">
        <v>15</v>
      </c>
      <c r="M318" s="18"/>
      <c r="N318" s="18"/>
      <c r="O318" s="18"/>
      <c r="P318" s="18" t="s">
        <v>16</v>
      </c>
    </row>
    <row collapsed="false" customFormat="false" customHeight="true" hidden="false" ht="25.5" outlineLevel="0" r="319">
      <c r="A319" s="18" t="s">
        <v>779</v>
      </c>
      <c r="B319" s="18" t="s">
        <v>561</v>
      </c>
      <c r="C319" s="18"/>
      <c r="D319" s="18" t="s">
        <v>780</v>
      </c>
      <c r="E319" s="18" t="s">
        <v>81</v>
      </c>
      <c r="F319" s="18"/>
      <c r="G319" s="18" t="s">
        <v>14</v>
      </c>
      <c r="H319" s="19" t="n">
        <v>43124.1258412269</v>
      </c>
      <c r="I319" s="20" t="n">
        <v>43124.1258412269</v>
      </c>
      <c r="J319" s="19" t="n">
        <v>43122.4544512963</v>
      </c>
      <c r="K319" s="20" t="n">
        <v>43122.4544512963</v>
      </c>
      <c r="L319" s="18" t="s">
        <v>15</v>
      </c>
      <c r="M319" s="18"/>
      <c r="N319" s="18"/>
      <c r="O319" s="18"/>
      <c r="P319" s="18" t="s">
        <v>16</v>
      </c>
    </row>
    <row collapsed="false" customFormat="false" customHeight="true" hidden="false" ht="25.5" outlineLevel="0" r="320">
      <c r="A320" s="18" t="s">
        <v>781</v>
      </c>
      <c r="B320" s="18" t="s">
        <v>782</v>
      </c>
      <c r="C320" s="18"/>
      <c r="D320" s="18" t="s">
        <v>61</v>
      </c>
      <c r="E320" s="18" t="s">
        <v>72</v>
      </c>
      <c r="F320" s="18"/>
      <c r="G320" s="18" t="s">
        <v>14</v>
      </c>
      <c r="H320" s="19" t="n">
        <v>43126.1262443171</v>
      </c>
      <c r="I320" s="20" t="n">
        <v>43126.1262443171</v>
      </c>
      <c r="J320" s="19" t="n">
        <v>43122.6159802894</v>
      </c>
      <c r="K320" s="20" t="n">
        <v>43122.6159802894</v>
      </c>
      <c r="L320" s="18" t="s">
        <v>15</v>
      </c>
      <c r="M320" s="18"/>
      <c r="N320" s="18"/>
      <c r="O320" s="18"/>
      <c r="P320" s="18" t="s">
        <v>16</v>
      </c>
    </row>
    <row collapsed="false" customFormat="false" customHeight="true" hidden="false" ht="25.5" outlineLevel="0" r="321">
      <c r="A321" s="18" t="s">
        <v>783</v>
      </c>
      <c r="B321" s="18" t="s">
        <v>784</v>
      </c>
      <c r="C321" s="18"/>
      <c r="D321" s="18" t="s">
        <v>785</v>
      </c>
      <c r="E321" s="18" t="s">
        <v>785</v>
      </c>
      <c r="F321" s="18"/>
      <c r="G321" s="18" t="s">
        <v>971</v>
      </c>
      <c r="H321" s="19" t="n">
        <v>43258.0838794792</v>
      </c>
      <c r="I321" s="20" t="n">
        <v>43258.0838794792</v>
      </c>
      <c r="J321" s="19" t="n">
        <v>43122.6315949421</v>
      </c>
      <c r="K321" s="20" t="n">
        <v>43122.6315949421</v>
      </c>
      <c r="L321" s="18" t="s">
        <v>15</v>
      </c>
      <c r="M321" s="18"/>
      <c r="N321" s="18"/>
      <c r="O321" s="18"/>
      <c r="P321" s="18" t="s">
        <v>16</v>
      </c>
    </row>
    <row collapsed="false" customFormat="false" customHeight="true" hidden="false" ht="25.5" outlineLevel="0" r="322">
      <c r="A322" s="18" t="s">
        <v>786</v>
      </c>
      <c r="B322" s="18" t="s">
        <v>787</v>
      </c>
      <c r="C322" s="18"/>
      <c r="D322" s="18" t="s">
        <v>61</v>
      </c>
      <c r="E322" s="18" t="s">
        <v>50</v>
      </c>
      <c r="F322" s="18"/>
      <c r="G322" s="18" t="s">
        <v>14</v>
      </c>
      <c r="H322" s="19" t="n">
        <v>43125.1257610185</v>
      </c>
      <c r="I322" s="20" t="n">
        <v>43125.1257610185</v>
      </c>
      <c r="J322" s="19" t="n">
        <v>43123.079369213</v>
      </c>
      <c r="K322" s="20" t="n">
        <v>43123.079369213</v>
      </c>
      <c r="L322" s="18" t="s">
        <v>15</v>
      </c>
      <c r="M322" s="18"/>
      <c r="N322" s="18"/>
      <c r="O322" s="18"/>
      <c r="P322" s="18" t="s">
        <v>58</v>
      </c>
    </row>
    <row collapsed="false" customFormat="false" customHeight="true" hidden="false" ht="25.5" outlineLevel="0" r="323">
      <c r="A323" s="18" t="s">
        <v>788</v>
      </c>
      <c r="B323" s="18" t="s">
        <v>156</v>
      </c>
      <c r="C323" s="18"/>
      <c r="D323" s="18" t="s">
        <v>140</v>
      </c>
      <c r="E323" s="18" t="s">
        <v>72</v>
      </c>
      <c r="F323" s="18"/>
      <c r="G323" s="18" t="s">
        <v>14</v>
      </c>
      <c r="H323" s="19" t="n">
        <v>43125.2084265394</v>
      </c>
      <c r="I323" s="20" t="n">
        <v>43125.2084265394</v>
      </c>
      <c r="J323" s="19" t="n">
        <v>43123.6227750232</v>
      </c>
      <c r="K323" s="20" t="n">
        <v>43123.6227750232</v>
      </c>
      <c r="L323" s="18" t="s">
        <v>15</v>
      </c>
      <c r="M323" s="18"/>
      <c r="N323" s="18"/>
      <c r="O323" s="18"/>
      <c r="P323" s="18" t="s">
        <v>58</v>
      </c>
    </row>
    <row collapsed="false" customFormat="false" customHeight="true" hidden="false" ht="25.5" outlineLevel="0" r="324">
      <c r="A324" s="18" t="s">
        <v>789</v>
      </c>
      <c r="B324" s="18" t="s">
        <v>790</v>
      </c>
      <c r="C324" s="18"/>
      <c r="D324" s="18" t="s">
        <v>61</v>
      </c>
      <c r="E324" s="18" t="s">
        <v>50</v>
      </c>
      <c r="F324" s="18"/>
      <c r="G324" s="18" t="s">
        <v>14</v>
      </c>
      <c r="H324" s="19" t="n">
        <v>43126.1257605556</v>
      </c>
      <c r="I324" s="20" t="n">
        <v>43126.1257605556</v>
      </c>
      <c r="J324" s="19" t="n">
        <v>43124.2729052662</v>
      </c>
      <c r="K324" s="20" t="n">
        <v>43124.2729052662</v>
      </c>
      <c r="L324" s="18" t="s">
        <v>15</v>
      </c>
      <c r="M324" s="18"/>
      <c r="N324" s="18"/>
      <c r="O324" s="18"/>
      <c r="P324" s="18" t="s">
        <v>58</v>
      </c>
    </row>
    <row collapsed="false" customFormat="false" customHeight="true" hidden="false" ht="25.5" outlineLevel="0" r="325">
      <c r="A325" s="18" t="s">
        <v>791</v>
      </c>
      <c r="B325" s="18" t="s">
        <v>792</v>
      </c>
      <c r="C325" s="18"/>
      <c r="D325" s="18" t="s">
        <v>61</v>
      </c>
      <c r="E325" s="18" t="s">
        <v>72</v>
      </c>
      <c r="F325" s="18"/>
      <c r="G325" s="18" t="s">
        <v>14</v>
      </c>
      <c r="H325" s="19" t="n">
        <v>43129.000066331</v>
      </c>
      <c r="I325" s="20" t="n">
        <v>43129.000066331</v>
      </c>
      <c r="J325" s="19" t="n">
        <v>43126.4709054745</v>
      </c>
      <c r="K325" s="20" t="n">
        <v>43126.4709054745</v>
      </c>
      <c r="L325" s="18" t="s">
        <v>15</v>
      </c>
      <c r="M325" s="18"/>
      <c r="N325" s="18"/>
      <c r="O325" s="18"/>
      <c r="P325" s="18" t="s">
        <v>58</v>
      </c>
    </row>
    <row collapsed="false" customFormat="false" customHeight="true" hidden="false" ht="25.5" outlineLevel="0" r="326">
      <c r="A326" s="18" t="s">
        <v>793</v>
      </c>
      <c r="B326" s="18" t="s">
        <v>794</v>
      </c>
      <c r="C326" s="18"/>
      <c r="D326" s="18" t="s">
        <v>61</v>
      </c>
      <c r="E326" s="18" t="s">
        <v>208</v>
      </c>
      <c r="F326" s="18"/>
      <c r="G326" s="18" t="s">
        <v>14</v>
      </c>
      <c r="H326" s="19" t="n">
        <v>43132.3811430903</v>
      </c>
      <c r="I326" s="20" t="n">
        <v>43132.3811430903</v>
      </c>
      <c r="J326" s="19" t="n">
        <v>43126.6059779977</v>
      </c>
      <c r="K326" s="20" t="n">
        <v>43126.6059779977</v>
      </c>
      <c r="L326" s="18" t="s">
        <v>15</v>
      </c>
      <c r="M326" s="18"/>
      <c r="N326" s="18"/>
      <c r="O326" s="18"/>
      <c r="P326" s="18" t="s">
        <v>58</v>
      </c>
    </row>
    <row collapsed="false" customFormat="false" customHeight="true" hidden="false" ht="25.5" outlineLevel="0" r="327">
      <c r="A327" s="18" t="s">
        <v>795</v>
      </c>
      <c r="B327" s="18" t="s">
        <v>796</v>
      </c>
      <c r="C327" s="18"/>
      <c r="D327" s="18" t="s">
        <v>61</v>
      </c>
      <c r="E327" s="18" t="s">
        <v>72</v>
      </c>
      <c r="F327" s="18"/>
      <c r="G327" s="18" t="s">
        <v>14</v>
      </c>
      <c r="H327" s="19" t="n">
        <v>43131.1257674074</v>
      </c>
      <c r="I327" s="20" t="n">
        <v>43131.1257674074</v>
      </c>
      <c r="J327" s="19" t="n">
        <v>43126.7109895486</v>
      </c>
      <c r="K327" s="20" t="n">
        <v>43126.7109895486</v>
      </c>
      <c r="L327" s="18" t="s">
        <v>15</v>
      </c>
      <c r="M327" s="18"/>
      <c r="N327" s="18"/>
      <c r="O327" s="18"/>
      <c r="P327" s="18" t="s">
        <v>58</v>
      </c>
    </row>
    <row collapsed="false" customFormat="false" customHeight="true" hidden="false" ht="25.5" outlineLevel="0" r="328">
      <c r="A328" s="18" t="s">
        <v>797</v>
      </c>
      <c r="B328" s="18" t="s">
        <v>798</v>
      </c>
      <c r="C328" s="18"/>
      <c r="D328" s="18" t="s">
        <v>799</v>
      </c>
      <c r="E328" s="18" t="s">
        <v>799</v>
      </c>
      <c r="F328" s="18"/>
      <c r="G328" s="18" t="s">
        <v>14</v>
      </c>
      <c r="H328" s="19" t="n">
        <v>43132.1257320023</v>
      </c>
      <c r="I328" s="20" t="n">
        <v>43132.1257320023</v>
      </c>
      <c r="J328" s="19" t="n">
        <v>43129.6981862847</v>
      </c>
      <c r="K328" s="20" t="n">
        <v>43129.6981862847</v>
      </c>
      <c r="L328" s="18" t="s">
        <v>15</v>
      </c>
      <c r="M328" s="18"/>
      <c r="N328" s="18"/>
      <c r="O328" s="18"/>
      <c r="P328" s="18" t="s">
        <v>58</v>
      </c>
    </row>
    <row collapsed="false" customFormat="false" customHeight="true" hidden="false" ht="25.5" outlineLevel="0" r="329">
      <c r="A329" s="18" t="s">
        <v>800</v>
      </c>
      <c r="B329" s="18" t="s">
        <v>801</v>
      </c>
      <c r="C329" s="18"/>
      <c r="D329" s="18" t="s">
        <v>61</v>
      </c>
      <c r="E329" s="18" t="s">
        <v>72</v>
      </c>
      <c r="F329" s="18"/>
      <c r="G329" s="18" t="s">
        <v>14</v>
      </c>
      <c r="H329" s="19" t="n">
        <v>43132.4167573611</v>
      </c>
      <c r="I329" s="20" t="n">
        <v>43132.4167573611</v>
      </c>
      <c r="J329" s="19" t="n">
        <v>43130.620776956</v>
      </c>
      <c r="K329" s="20" t="n">
        <v>43130.620776956</v>
      </c>
      <c r="L329" s="18" t="s">
        <v>15</v>
      </c>
      <c r="M329" s="18"/>
      <c r="N329" s="18"/>
      <c r="O329" s="18"/>
      <c r="P329" s="18" t="s">
        <v>16</v>
      </c>
    </row>
    <row collapsed="false" customFormat="false" customHeight="true" hidden="false" ht="25.5" outlineLevel="0" r="330">
      <c r="A330" s="18" t="s">
        <v>802</v>
      </c>
      <c r="B330" s="18" t="s">
        <v>803</v>
      </c>
      <c r="C330" s="18"/>
      <c r="D330" s="18" t="s">
        <v>804</v>
      </c>
      <c r="E330" s="18" t="s">
        <v>33</v>
      </c>
      <c r="F330" s="18"/>
      <c r="G330" s="18" t="s">
        <v>14</v>
      </c>
      <c r="H330" s="19" t="n">
        <v>43132.4167639583</v>
      </c>
      <c r="I330" s="20" t="n">
        <v>43132.4167639583</v>
      </c>
      <c r="J330" s="19" t="n">
        <v>43130.6943691204</v>
      </c>
      <c r="K330" s="20" t="n">
        <v>43130.6943691204</v>
      </c>
      <c r="L330" s="18" t="s">
        <v>15</v>
      </c>
      <c r="M330" s="18"/>
      <c r="N330" s="18"/>
      <c r="O330" s="18"/>
      <c r="P330" s="18" t="s">
        <v>16</v>
      </c>
    </row>
    <row collapsed="false" customFormat="false" customHeight="true" hidden="false" ht="25.5" outlineLevel="0" r="331">
      <c r="A331" s="18" t="s">
        <v>805</v>
      </c>
      <c r="B331" s="18" t="s">
        <v>806</v>
      </c>
      <c r="C331" s="18"/>
      <c r="D331" s="18" t="s">
        <v>807</v>
      </c>
      <c r="E331" s="18" t="s">
        <v>45</v>
      </c>
      <c r="F331" s="18"/>
      <c r="G331" s="18" t="s">
        <v>14</v>
      </c>
      <c r="H331" s="19" t="n">
        <v>43138.1252570255</v>
      </c>
      <c r="I331" s="20" t="n">
        <v>43138.1252570255</v>
      </c>
      <c r="J331" s="19" t="n">
        <v>43130.7443149769</v>
      </c>
      <c r="K331" s="20" t="n">
        <v>43130.7443149769</v>
      </c>
      <c r="L331" s="18" t="s">
        <v>15</v>
      </c>
      <c r="M331" s="18"/>
      <c r="N331" s="18"/>
      <c r="O331" s="18"/>
      <c r="P331" s="18" t="s">
        <v>16</v>
      </c>
    </row>
    <row collapsed="false" customFormat="false" customHeight="true" hidden="false" ht="25.5" outlineLevel="0" r="332">
      <c r="A332" s="18" t="s">
        <v>808</v>
      </c>
      <c r="B332" s="18" t="s">
        <v>809</v>
      </c>
      <c r="C332" s="18"/>
      <c r="D332" s="18" t="s">
        <v>810</v>
      </c>
      <c r="E332" s="18" t="s">
        <v>811</v>
      </c>
      <c r="F332" s="18"/>
      <c r="G332" s="18" t="s">
        <v>14</v>
      </c>
      <c r="H332" s="19" t="n">
        <v>43138.1254040509</v>
      </c>
      <c r="I332" s="20" t="n">
        <v>43138.1254040509</v>
      </c>
      <c r="J332" s="19" t="n">
        <v>43132.5530676389</v>
      </c>
      <c r="K332" s="20" t="n">
        <v>43132.5530676389</v>
      </c>
      <c r="L332" s="18" t="s">
        <v>15</v>
      </c>
      <c r="M332" s="18"/>
      <c r="N332" s="18"/>
      <c r="O332" s="18"/>
      <c r="P332" s="18" t="s">
        <v>16</v>
      </c>
    </row>
    <row collapsed="false" customFormat="false" customHeight="true" hidden="false" ht="25.5" outlineLevel="0" r="333">
      <c r="A333" s="18" t="s">
        <v>812</v>
      </c>
      <c r="B333" s="18" t="s">
        <v>813</v>
      </c>
      <c r="C333" s="18"/>
      <c r="D333" s="18" t="s">
        <v>61</v>
      </c>
      <c r="E333" s="18" t="s">
        <v>72</v>
      </c>
      <c r="F333" s="18"/>
      <c r="G333" s="18" t="s">
        <v>14</v>
      </c>
      <c r="H333" s="19" t="n">
        <v>43138.1254563542</v>
      </c>
      <c r="I333" s="20" t="n">
        <v>43138.1254563542</v>
      </c>
      <c r="J333" s="19" t="n">
        <v>43133.6233867824</v>
      </c>
      <c r="K333" s="20" t="n">
        <v>43133.6233867824</v>
      </c>
      <c r="L333" s="18" t="s">
        <v>15</v>
      </c>
      <c r="M333" s="18"/>
      <c r="N333" s="18"/>
      <c r="O333" s="18"/>
      <c r="P333" s="18" t="s">
        <v>16</v>
      </c>
    </row>
    <row collapsed="false" customFormat="false" customHeight="true" hidden="false" ht="25.5" outlineLevel="0" r="334">
      <c r="A334" s="18" t="s">
        <v>814</v>
      </c>
      <c r="B334" s="18" t="s">
        <v>312</v>
      </c>
      <c r="C334" s="18"/>
      <c r="D334" s="18" t="s">
        <v>54</v>
      </c>
      <c r="E334" s="18" t="s">
        <v>28</v>
      </c>
      <c r="F334" s="18"/>
      <c r="G334" s="18" t="s">
        <v>14</v>
      </c>
      <c r="H334" s="19" t="n">
        <v>43136.7917663079</v>
      </c>
      <c r="I334" s="20" t="n">
        <v>43136.7917663079</v>
      </c>
      <c r="J334" s="19" t="n">
        <v>43133.9341687037</v>
      </c>
      <c r="K334" s="20" t="n">
        <v>43133.9341687037</v>
      </c>
      <c r="L334" s="18" t="s">
        <v>15</v>
      </c>
      <c r="M334" s="18"/>
      <c r="N334" s="18"/>
      <c r="O334" s="18"/>
      <c r="P334" s="18" t="s">
        <v>58</v>
      </c>
    </row>
    <row collapsed="false" customFormat="false" customHeight="true" hidden="false" ht="25.5" outlineLevel="0" r="335">
      <c r="A335" s="18" t="s">
        <v>815</v>
      </c>
      <c r="B335" s="18" t="s">
        <v>310</v>
      </c>
      <c r="C335" s="18"/>
      <c r="D335" s="18" t="s">
        <v>54</v>
      </c>
      <c r="E335" s="18" t="s">
        <v>28</v>
      </c>
      <c r="F335" s="18"/>
      <c r="G335" s="18" t="s">
        <v>14</v>
      </c>
      <c r="H335" s="19" t="n">
        <v>43140.1253261574</v>
      </c>
      <c r="I335" s="20" t="n">
        <v>43140.1253261574</v>
      </c>
      <c r="J335" s="19" t="n">
        <v>43133.9356242477</v>
      </c>
      <c r="K335" s="20" t="n">
        <v>43133.9356242477</v>
      </c>
      <c r="L335" s="18" t="s">
        <v>15</v>
      </c>
      <c r="M335" s="18"/>
      <c r="N335" s="18"/>
      <c r="O335" s="18"/>
      <c r="P335" s="18" t="s">
        <v>16</v>
      </c>
    </row>
    <row collapsed="false" customFormat="false" customHeight="true" hidden="false" ht="25.5" outlineLevel="0" r="336">
      <c r="A336" s="18" t="s">
        <v>816</v>
      </c>
      <c r="B336" s="18" t="s">
        <v>817</v>
      </c>
      <c r="C336" s="18"/>
      <c r="D336" s="18" t="s">
        <v>818</v>
      </c>
      <c r="E336" s="18" t="s">
        <v>37</v>
      </c>
      <c r="F336" s="18"/>
      <c r="G336" s="18" t="s">
        <v>14</v>
      </c>
      <c r="H336" s="19" t="n">
        <v>43140.1312988426</v>
      </c>
      <c r="I336" s="20" t="n">
        <v>43140.1312988426</v>
      </c>
      <c r="J336" s="19" t="n">
        <v>43136.6012780556</v>
      </c>
      <c r="K336" s="20" t="n">
        <v>43136.6012780556</v>
      </c>
      <c r="L336" s="18" t="s">
        <v>15</v>
      </c>
      <c r="M336" s="18"/>
      <c r="N336" s="18"/>
      <c r="O336" s="18"/>
      <c r="P336" s="18" t="s">
        <v>16</v>
      </c>
    </row>
    <row collapsed="false" customFormat="false" customHeight="true" hidden="false" ht="25.5" outlineLevel="0" r="337">
      <c r="A337" s="18" t="s">
        <v>819</v>
      </c>
      <c r="B337" s="18" t="s">
        <v>820</v>
      </c>
      <c r="C337" s="18"/>
      <c r="D337" s="18" t="s">
        <v>487</v>
      </c>
      <c r="E337" s="18" t="s">
        <v>81</v>
      </c>
      <c r="F337" s="18"/>
      <c r="G337" s="18" t="s">
        <v>14</v>
      </c>
      <c r="H337" s="19" t="n">
        <v>43140.1313026968</v>
      </c>
      <c r="I337" s="20" t="n">
        <v>43140.1313026968</v>
      </c>
      <c r="J337" s="19" t="n">
        <v>43136.6537459491</v>
      </c>
      <c r="K337" s="20" t="n">
        <v>43136.6537459491</v>
      </c>
      <c r="L337" s="18" t="s">
        <v>15</v>
      </c>
      <c r="M337" s="18"/>
      <c r="N337" s="18"/>
      <c r="O337" s="18"/>
      <c r="P337" s="18" t="s">
        <v>16</v>
      </c>
    </row>
    <row collapsed="false" customFormat="false" customHeight="true" hidden="false" ht="25.5" outlineLevel="0" r="338">
      <c r="A338" s="18" t="s">
        <v>821</v>
      </c>
      <c r="B338" s="18" t="s">
        <v>163</v>
      </c>
      <c r="C338" s="18"/>
      <c r="D338" s="18" t="s">
        <v>164</v>
      </c>
      <c r="E338" s="18" t="s">
        <v>215</v>
      </c>
      <c r="F338" s="18"/>
      <c r="G338" s="18" t="s">
        <v>14</v>
      </c>
      <c r="H338" s="19" t="n">
        <v>43140.1255058681</v>
      </c>
      <c r="I338" s="20" t="n">
        <v>43140.1255058681</v>
      </c>
      <c r="J338" s="19" t="n">
        <v>43137.3799535995</v>
      </c>
      <c r="K338" s="20" t="n">
        <v>43137.3799535995</v>
      </c>
      <c r="L338" s="18" t="s">
        <v>15</v>
      </c>
      <c r="M338" s="18"/>
      <c r="N338" s="18"/>
      <c r="O338" s="18"/>
      <c r="P338" s="18" t="s">
        <v>16</v>
      </c>
    </row>
    <row collapsed="false" customFormat="false" customHeight="true" hidden="false" ht="25.5" outlineLevel="0" r="339">
      <c r="A339" s="18" t="s">
        <v>822</v>
      </c>
      <c r="B339" s="18" t="s">
        <v>823</v>
      </c>
      <c r="C339" s="18"/>
      <c r="D339" s="18" t="s">
        <v>824</v>
      </c>
      <c r="E339" s="18" t="s">
        <v>824</v>
      </c>
      <c r="F339" s="18"/>
      <c r="G339" s="18" t="s">
        <v>14</v>
      </c>
      <c r="H339" s="19" t="n">
        <v>43147.1667748843</v>
      </c>
      <c r="I339" s="20" t="n">
        <v>43147.1667748843</v>
      </c>
      <c r="J339" s="19" t="n">
        <v>43139.7425323033</v>
      </c>
      <c r="K339" s="20" t="n">
        <v>43139.7425323033</v>
      </c>
      <c r="L339" s="18" t="s">
        <v>15</v>
      </c>
      <c r="M339" s="18"/>
      <c r="N339" s="18"/>
      <c r="O339" s="18"/>
      <c r="P339" s="18" t="s">
        <v>16</v>
      </c>
    </row>
    <row collapsed="false" customFormat="false" customHeight="true" hidden="false" ht="25.5" outlineLevel="0" r="340">
      <c r="A340" s="18" t="s">
        <v>825</v>
      </c>
      <c r="B340" s="18" t="s">
        <v>826</v>
      </c>
      <c r="C340" s="18"/>
      <c r="D340" s="18" t="s">
        <v>154</v>
      </c>
      <c r="E340" s="18" t="s">
        <v>72</v>
      </c>
      <c r="F340" s="18"/>
      <c r="G340" s="18" t="s">
        <v>14</v>
      </c>
      <c r="H340" s="19" t="n">
        <v>43167.1254843519</v>
      </c>
      <c r="I340" s="20" t="n">
        <v>43167.1254843519</v>
      </c>
      <c r="J340" s="19" t="n">
        <v>43145.6019885995</v>
      </c>
      <c r="K340" s="20" t="n">
        <v>43145.6019885995</v>
      </c>
      <c r="L340" s="18" t="s">
        <v>15</v>
      </c>
      <c r="M340" s="18"/>
      <c r="N340" s="18"/>
      <c r="O340" s="18"/>
      <c r="P340" s="18" t="s">
        <v>16</v>
      </c>
    </row>
    <row collapsed="false" customFormat="false" customHeight="true" hidden="false" ht="25.5" outlineLevel="0" r="341">
      <c r="A341" s="18" t="s">
        <v>827</v>
      </c>
      <c r="B341" s="18" t="s">
        <v>828</v>
      </c>
      <c r="C341" s="18"/>
      <c r="D341" s="18" t="s">
        <v>829</v>
      </c>
      <c r="E341" s="18" t="s">
        <v>241</v>
      </c>
      <c r="F341" s="18"/>
      <c r="G341" s="18" t="s">
        <v>14</v>
      </c>
      <c r="H341" s="19" t="n">
        <v>43152.1317060764</v>
      </c>
      <c r="I341" s="20" t="n">
        <v>43152.1317060764</v>
      </c>
      <c r="J341" s="19" t="n">
        <v>43147.7039835764</v>
      </c>
      <c r="K341" s="20" t="n">
        <v>43147.7039835764</v>
      </c>
      <c r="L341" s="18" t="s">
        <v>15</v>
      </c>
      <c r="M341" s="18"/>
      <c r="N341" s="18"/>
      <c r="O341" s="18"/>
      <c r="P341" s="18" t="s">
        <v>16</v>
      </c>
    </row>
    <row collapsed="false" customFormat="false" customHeight="true" hidden="false" ht="25.5" outlineLevel="0" r="342">
      <c r="A342" s="18" t="s">
        <v>830</v>
      </c>
      <c r="B342" s="18" t="s">
        <v>831</v>
      </c>
      <c r="C342" s="18"/>
      <c r="D342" s="18" t="s">
        <v>832</v>
      </c>
      <c r="E342" s="18" t="s">
        <v>115</v>
      </c>
      <c r="F342" s="18"/>
      <c r="G342" s="18" t="s">
        <v>14</v>
      </c>
      <c r="H342" s="19" t="n">
        <v>43154.1664007755</v>
      </c>
      <c r="I342" s="20" t="n">
        <v>43154.1664007755</v>
      </c>
      <c r="J342" s="19" t="n">
        <v>43151.5464339005</v>
      </c>
      <c r="K342" s="20" t="n">
        <v>43151.5464339005</v>
      </c>
      <c r="L342" s="18" t="s">
        <v>15</v>
      </c>
      <c r="M342" s="18"/>
      <c r="N342" s="18"/>
      <c r="O342" s="18"/>
      <c r="P342" s="18" t="s">
        <v>16</v>
      </c>
    </row>
    <row collapsed="false" customFormat="false" customHeight="true" hidden="false" ht="25.5" outlineLevel="0" r="343">
      <c r="A343" s="18" t="s">
        <v>833</v>
      </c>
      <c r="B343" s="18" t="s">
        <v>834</v>
      </c>
      <c r="C343" s="18"/>
      <c r="D343" s="18" t="s">
        <v>154</v>
      </c>
      <c r="E343" s="18" t="s">
        <v>72</v>
      </c>
      <c r="F343" s="18"/>
      <c r="G343" s="18" t="s">
        <v>14</v>
      </c>
      <c r="H343" s="19" t="n">
        <v>43167.1255563773</v>
      </c>
      <c r="I343" s="20" t="n">
        <v>43167.1255563773</v>
      </c>
      <c r="J343" s="19" t="n">
        <v>43152.5401641667</v>
      </c>
      <c r="K343" s="20" t="n">
        <v>43152.5401641667</v>
      </c>
      <c r="L343" s="18" t="s">
        <v>15</v>
      </c>
      <c r="M343" s="18"/>
      <c r="N343" s="18"/>
      <c r="O343" s="18"/>
      <c r="P343" s="18" t="s">
        <v>16</v>
      </c>
    </row>
    <row collapsed="false" customFormat="false" customHeight="true" hidden="false" ht="25.5" outlineLevel="0" r="344">
      <c r="A344" s="18" t="s">
        <v>835</v>
      </c>
      <c r="B344" s="18" t="s">
        <v>836</v>
      </c>
      <c r="C344" s="18"/>
      <c r="D344" s="18" t="s">
        <v>164</v>
      </c>
      <c r="E344" s="18" t="s">
        <v>215</v>
      </c>
      <c r="F344" s="18"/>
      <c r="G344" s="18" t="s">
        <v>14</v>
      </c>
      <c r="H344" s="19" t="n">
        <v>43161.1668740278</v>
      </c>
      <c r="I344" s="20" t="n">
        <v>43161.1668740278</v>
      </c>
      <c r="J344" s="19" t="n">
        <v>43154.3654158102</v>
      </c>
      <c r="K344" s="20" t="n">
        <v>43154.3654158102</v>
      </c>
      <c r="L344" s="18" t="s">
        <v>15</v>
      </c>
      <c r="M344" s="18"/>
      <c r="N344" s="18"/>
      <c r="O344" s="18"/>
      <c r="P344" s="18" t="s">
        <v>16</v>
      </c>
    </row>
    <row collapsed="false" customFormat="false" customHeight="true" hidden="false" ht="25.5" outlineLevel="0" r="345">
      <c r="A345" s="18" t="s">
        <v>837</v>
      </c>
      <c r="B345" s="18" t="s">
        <v>838</v>
      </c>
      <c r="C345" s="18"/>
      <c r="D345" s="18" t="s">
        <v>479</v>
      </c>
      <c r="E345" s="18" t="s">
        <v>479</v>
      </c>
      <c r="F345" s="18"/>
      <c r="G345" s="18" t="s">
        <v>14</v>
      </c>
      <c r="H345" s="19" t="n">
        <v>43162.1255053935</v>
      </c>
      <c r="I345" s="20" t="n">
        <v>43162.1255053935</v>
      </c>
      <c r="J345" s="19" t="n">
        <v>43157.4737552662</v>
      </c>
      <c r="K345" s="20" t="n">
        <v>43157.4737552662</v>
      </c>
      <c r="L345" s="18" t="s">
        <v>15</v>
      </c>
      <c r="M345" s="18"/>
      <c r="N345" s="18"/>
      <c r="O345" s="18"/>
      <c r="P345" s="18" t="s">
        <v>16</v>
      </c>
    </row>
    <row collapsed="false" customFormat="false" customHeight="true" hidden="false" ht="25.5" outlineLevel="0" r="346">
      <c r="A346" s="18" t="s">
        <v>839</v>
      </c>
      <c r="B346" s="18" t="s">
        <v>840</v>
      </c>
      <c r="C346" s="18"/>
      <c r="D346" s="18" t="s">
        <v>841</v>
      </c>
      <c r="E346" s="18" t="s">
        <v>841</v>
      </c>
      <c r="F346" s="18"/>
      <c r="G346" s="18" t="s">
        <v>14</v>
      </c>
      <c r="H346" s="19" t="n">
        <v>43161.1668780787</v>
      </c>
      <c r="I346" s="20" t="n">
        <v>43161.1668780787</v>
      </c>
      <c r="J346" s="19" t="n">
        <v>43158.4208684028</v>
      </c>
      <c r="K346" s="20" t="n">
        <v>43158.4208684028</v>
      </c>
      <c r="L346" s="18" t="s">
        <v>15</v>
      </c>
      <c r="M346" s="18"/>
      <c r="N346" s="18"/>
      <c r="O346" s="18"/>
      <c r="P346" s="18" t="s">
        <v>16</v>
      </c>
    </row>
    <row collapsed="false" customFormat="false" customHeight="true" hidden="false" ht="25.5" outlineLevel="0" r="347">
      <c r="A347" s="18" t="s">
        <v>842</v>
      </c>
      <c r="B347" s="18" t="s">
        <v>843</v>
      </c>
      <c r="C347" s="18"/>
      <c r="D347" s="18" t="s">
        <v>54</v>
      </c>
      <c r="E347" s="18" t="s">
        <v>72</v>
      </c>
      <c r="F347" s="18"/>
      <c r="G347" s="18" t="s">
        <v>14</v>
      </c>
      <c r="H347" s="19" t="n">
        <v>43167.1670918634</v>
      </c>
      <c r="I347" s="20" t="n">
        <v>43167.1670918634</v>
      </c>
      <c r="J347" s="19" t="n">
        <v>43164.4703506597</v>
      </c>
      <c r="K347" s="20" t="n">
        <v>43164.4703506597</v>
      </c>
      <c r="L347" s="18" t="s">
        <v>15</v>
      </c>
      <c r="M347" s="18"/>
      <c r="N347" s="18"/>
      <c r="O347" s="18"/>
      <c r="P347" s="18" t="s">
        <v>16</v>
      </c>
    </row>
    <row collapsed="false" customFormat="false" customHeight="true" hidden="false" ht="25.5" outlineLevel="0" r="348">
      <c r="A348" s="18" t="s">
        <v>844</v>
      </c>
      <c r="B348" s="18" t="s">
        <v>845</v>
      </c>
      <c r="C348" s="18"/>
      <c r="D348" s="18" t="s">
        <v>54</v>
      </c>
      <c r="E348" s="18" t="s">
        <v>72</v>
      </c>
      <c r="F348" s="18"/>
      <c r="G348" s="18" t="s">
        <v>14</v>
      </c>
      <c r="H348" s="19" t="n">
        <v>43167.125759838</v>
      </c>
      <c r="I348" s="20" t="n">
        <v>43167.125759838</v>
      </c>
      <c r="J348" s="19" t="n">
        <v>43164.47171375</v>
      </c>
      <c r="K348" s="20" t="n">
        <v>43164.47171375</v>
      </c>
      <c r="L348" s="18" t="s">
        <v>15</v>
      </c>
      <c r="M348" s="18"/>
      <c r="N348" s="18"/>
      <c r="O348" s="18"/>
      <c r="P348" s="18" t="s">
        <v>58</v>
      </c>
    </row>
    <row collapsed="false" customFormat="false" customHeight="true" hidden="false" ht="25.5" outlineLevel="0" r="349">
      <c r="A349" s="18" t="s">
        <v>846</v>
      </c>
      <c r="B349" s="18" t="s">
        <v>847</v>
      </c>
      <c r="C349" s="18"/>
      <c r="D349" s="18" t="s">
        <v>164</v>
      </c>
      <c r="E349" s="18" t="s">
        <v>126</v>
      </c>
      <c r="F349" s="18"/>
      <c r="G349" s="18" t="s">
        <v>848</v>
      </c>
      <c r="H349" s="19" t="n">
        <v>43165.4883581134</v>
      </c>
      <c r="I349" s="20" t="n">
        <v>43165.4883581134</v>
      </c>
      <c r="J349" s="19" t="n">
        <v>43165.4871140972</v>
      </c>
      <c r="K349" s="20" t="n">
        <v>43165.4871140972</v>
      </c>
      <c r="L349" s="18" t="s">
        <v>15</v>
      </c>
      <c r="M349" s="18"/>
      <c r="N349" s="18"/>
      <c r="O349" s="18"/>
      <c r="P349" s="18"/>
    </row>
    <row collapsed="false" customFormat="false" customHeight="true" hidden="false" ht="25.5" outlineLevel="0" r="350">
      <c r="A350" s="18" t="s">
        <v>849</v>
      </c>
      <c r="B350" s="18" t="s">
        <v>347</v>
      </c>
      <c r="C350" s="18"/>
      <c r="D350" s="18" t="s">
        <v>799</v>
      </c>
      <c r="E350" s="18" t="s">
        <v>799</v>
      </c>
      <c r="F350" s="18"/>
      <c r="G350" s="18" t="s">
        <v>14</v>
      </c>
      <c r="H350" s="19" t="n">
        <v>43204.0840100579</v>
      </c>
      <c r="I350" s="20" t="n">
        <v>43204.0840100579</v>
      </c>
      <c r="J350" s="19" t="n">
        <v>43167.5905604051</v>
      </c>
      <c r="K350" s="20" t="n">
        <v>43167.5905604051</v>
      </c>
      <c r="L350" s="18" t="s">
        <v>15</v>
      </c>
      <c r="M350" s="18"/>
      <c r="N350" s="18"/>
      <c r="O350" s="18"/>
      <c r="P350" s="18" t="s">
        <v>16</v>
      </c>
    </row>
    <row collapsed="false" customFormat="false" customHeight="true" hidden="false" ht="25.5" outlineLevel="0" r="351">
      <c r="A351" s="18" t="s">
        <v>850</v>
      </c>
      <c r="B351" s="18" t="s">
        <v>851</v>
      </c>
      <c r="C351" s="18"/>
      <c r="D351" s="18" t="s">
        <v>154</v>
      </c>
      <c r="E351" s="18" t="s">
        <v>55</v>
      </c>
      <c r="F351" s="18"/>
      <c r="G351" s="18" t="s">
        <v>14</v>
      </c>
      <c r="H351" s="19" t="n">
        <v>43229.1251662847</v>
      </c>
      <c r="I351" s="20" t="n">
        <v>43229.1251662847</v>
      </c>
      <c r="J351" s="19" t="n">
        <v>43167.7147624537</v>
      </c>
      <c r="K351" s="20" t="n">
        <v>43167.7147624537</v>
      </c>
      <c r="L351" s="18" t="s">
        <v>15</v>
      </c>
      <c r="M351" s="18"/>
      <c r="N351" s="18"/>
      <c r="O351" s="18"/>
      <c r="P351" s="18" t="s">
        <v>16</v>
      </c>
    </row>
    <row collapsed="false" customFormat="false" customHeight="true" hidden="false" ht="25.5" outlineLevel="0" r="352">
      <c r="A352" s="18" t="s">
        <v>852</v>
      </c>
      <c r="B352" s="18" t="s">
        <v>853</v>
      </c>
      <c r="C352" s="18"/>
      <c r="D352" s="18" t="s">
        <v>854</v>
      </c>
      <c r="E352" s="18" t="s">
        <v>28</v>
      </c>
      <c r="F352" s="18"/>
      <c r="G352" s="18" t="s">
        <v>14</v>
      </c>
      <c r="H352" s="19" t="n">
        <v>43175.0847371991</v>
      </c>
      <c r="I352" s="20" t="n">
        <v>43175.0847371991</v>
      </c>
      <c r="J352" s="19" t="n">
        <v>43167.8722730324</v>
      </c>
      <c r="K352" s="20" t="n">
        <v>43167.8722730324</v>
      </c>
      <c r="L352" s="18" t="s">
        <v>15</v>
      </c>
      <c r="M352" s="18"/>
      <c r="N352" s="18"/>
      <c r="O352" s="18"/>
      <c r="P352" s="18" t="s">
        <v>58</v>
      </c>
    </row>
    <row collapsed="false" customFormat="false" customHeight="true" hidden="false" ht="25.5" outlineLevel="0" r="353">
      <c r="A353" s="18" t="s">
        <v>855</v>
      </c>
      <c r="B353" s="18" t="s">
        <v>856</v>
      </c>
      <c r="C353" s="18"/>
      <c r="D353" s="18" t="s">
        <v>857</v>
      </c>
      <c r="E353" s="18" t="s">
        <v>28</v>
      </c>
      <c r="F353" s="18"/>
      <c r="G353" s="18" t="s">
        <v>14</v>
      </c>
      <c r="H353" s="19" t="n">
        <v>43204.0852761343</v>
      </c>
      <c r="I353" s="20" t="n">
        <v>43204.0852761343</v>
      </c>
      <c r="J353" s="19" t="n">
        <v>43171.857279456</v>
      </c>
      <c r="K353" s="20" t="n">
        <v>43171.857279456</v>
      </c>
      <c r="L353" s="18" t="s">
        <v>15</v>
      </c>
      <c r="M353" s="18"/>
      <c r="N353" s="18"/>
      <c r="O353" s="18"/>
      <c r="P353" s="18" t="s">
        <v>16</v>
      </c>
    </row>
    <row collapsed="false" customFormat="false" customHeight="true" hidden="false" ht="25.5" outlineLevel="0" r="354">
      <c r="A354" s="18" t="s">
        <v>858</v>
      </c>
      <c r="B354" s="18" t="s">
        <v>859</v>
      </c>
      <c r="C354" s="18"/>
      <c r="D354" s="18" t="s">
        <v>479</v>
      </c>
      <c r="E354" s="18" t="s">
        <v>13</v>
      </c>
      <c r="F354" s="18"/>
      <c r="G354" s="18" t="s">
        <v>14</v>
      </c>
      <c r="H354" s="19" t="n">
        <v>43203.7481255556</v>
      </c>
      <c r="I354" s="20" t="n">
        <v>43203.7481255556</v>
      </c>
      <c r="J354" s="19" t="n">
        <v>43174.4796704514</v>
      </c>
      <c r="K354" s="20" t="n">
        <v>43174.4796704514</v>
      </c>
      <c r="L354" s="18" t="s">
        <v>15</v>
      </c>
      <c r="M354" s="18"/>
      <c r="N354" s="18"/>
      <c r="O354" s="18"/>
      <c r="P354" s="18" t="s">
        <v>58</v>
      </c>
    </row>
    <row collapsed="false" customFormat="false" customHeight="true" hidden="false" ht="25.5" outlineLevel="0" r="355">
      <c r="A355" s="18" t="s">
        <v>860</v>
      </c>
      <c r="B355" s="18" t="s">
        <v>861</v>
      </c>
      <c r="C355" s="18"/>
      <c r="D355" s="18" t="s">
        <v>862</v>
      </c>
      <c r="E355" s="18" t="s">
        <v>277</v>
      </c>
      <c r="F355" s="18"/>
      <c r="G355" s="18" t="s">
        <v>14</v>
      </c>
      <c r="H355" s="19" t="n">
        <v>43184.9171156944</v>
      </c>
      <c r="I355" s="20" t="n">
        <v>43184.9171156944</v>
      </c>
      <c r="J355" s="19" t="n">
        <v>43178.4012788426</v>
      </c>
      <c r="K355" s="20" t="n">
        <v>43178.4012788426</v>
      </c>
      <c r="L355" s="18" t="s">
        <v>15</v>
      </c>
      <c r="M355" s="18"/>
      <c r="N355" s="18"/>
      <c r="O355" s="18"/>
      <c r="P355" s="18" t="s">
        <v>16</v>
      </c>
    </row>
    <row collapsed="false" customFormat="false" customHeight="true" hidden="false" ht="25.5" outlineLevel="0" r="356">
      <c r="A356" s="18" t="s">
        <v>863</v>
      </c>
      <c r="B356" s="18" t="s">
        <v>864</v>
      </c>
      <c r="C356" s="18"/>
      <c r="D356" s="18" t="s">
        <v>154</v>
      </c>
      <c r="E356" s="18" t="s">
        <v>55</v>
      </c>
      <c r="F356" s="18"/>
      <c r="G356" s="18" t="s">
        <v>14</v>
      </c>
      <c r="H356" s="19" t="n">
        <v>43204.0852786343</v>
      </c>
      <c r="I356" s="20" t="n">
        <v>43204.0852786343</v>
      </c>
      <c r="J356" s="19" t="n">
        <v>43178.549112662</v>
      </c>
      <c r="K356" s="20" t="n">
        <v>43178.549112662</v>
      </c>
      <c r="L356" s="18" t="s">
        <v>15</v>
      </c>
      <c r="M356" s="18"/>
      <c r="N356" s="18"/>
      <c r="O356" s="18"/>
      <c r="P356" s="18" t="s">
        <v>16</v>
      </c>
    </row>
    <row collapsed="false" customFormat="false" customHeight="true" hidden="false" ht="25.5" outlineLevel="0" r="357">
      <c r="A357" s="18" t="s">
        <v>865</v>
      </c>
      <c r="B357" s="18" t="s">
        <v>866</v>
      </c>
      <c r="C357" s="18"/>
      <c r="D357" s="18" t="s">
        <v>556</v>
      </c>
      <c r="E357" s="18" t="s">
        <v>183</v>
      </c>
      <c r="F357" s="18"/>
      <c r="G357" s="18" t="s">
        <v>14</v>
      </c>
      <c r="H357" s="19" t="n">
        <v>43209.0855940046</v>
      </c>
      <c r="I357" s="20" t="n">
        <v>43209.0855940046</v>
      </c>
      <c r="J357" s="19" t="n">
        <v>43179.3983123032</v>
      </c>
      <c r="K357" s="20" t="n">
        <v>43179.3983123032</v>
      </c>
      <c r="L357" s="18" t="s">
        <v>15</v>
      </c>
      <c r="M357" s="18"/>
      <c r="N357" s="18"/>
      <c r="O357" s="18"/>
      <c r="P357" s="18" t="s">
        <v>58</v>
      </c>
    </row>
    <row collapsed="false" customFormat="false" customHeight="true" hidden="false" ht="25.5" outlineLevel="0" r="358">
      <c r="A358" s="18" t="s">
        <v>867</v>
      </c>
      <c r="B358" s="18" t="s">
        <v>868</v>
      </c>
      <c r="C358" s="18"/>
      <c r="D358" s="18" t="s">
        <v>869</v>
      </c>
      <c r="E358" s="18" t="s">
        <v>28</v>
      </c>
      <c r="F358" s="18"/>
      <c r="G358" s="18" t="s">
        <v>14</v>
      </c>
      <c r="H358" s="19" t="n">
        <v>43196.0839101968</v>
      </c>
      <c r="I358" s="20" t="n">
        <v>43196.0839101968</v>
      </c>
      <c r="J358" s="19" t="n">
        <v>43180.8518047222</v>
      </c>
      <c r="K358" s="20" t="n">
        <v>43180.8518047222</v>
      </c>
      <c r="L358" s="18" t="s">
        <v>15</v>
      </c>
      <c r="M358" s="18"/>
      <c r="N358" s="18"/>
      <c r="O358" s="18"/>
      <c r="P358" s="18" t="s">
        <v>58</v>
      </c>
    </row>
    <row collapsed="false" customFormat="false" customHeight="true" hidden="false" ht="25.5" outlineLevel="0" r="359">
      <c r="A359" s="18" t="s">
        <v>870</v>
      </c>
      <c r="B359" s="18" t="s">
        <v>871</v>
      </c>
      <c r="C359" s="18"/>
      <c r="D359" s="18" t="s">
        <v>154</v>
      </c>
      <c r="E359" s="18" t="s">
        <v>72</v>
      </c>
      <c r="F359" s="18"/>
      <c r="G359" s="18" t="s">
        <v>14</v>
      </c>
      <c r="H359" s="19" t="n">
        <v>43204.085279919</v>
      </c>
      <c r="I359" s="20" t="n">
        <v>43204.085279919</v>
      </c>
      <c r="J359" s="19" t="n">
        <v>43182.4084233449</v>
      </c>
      <c r="K359" s="20" t="n">
        <v>43182.4084233449</v>
      </c>
      <c r="L359" s="18" t="s">
        <v>15</v>
      </c>
      <c r="M359" s="18"/>
      <c r="N359" s="18"/>
      <c r="O359" s="18"/>
      <c r="P359" s="18" t="s">
        <v>16</v>
      </c>
    </row>
    <row collapsed="false" customFormat="false" customHeight="true" hidden="false" ht="25.5" outlineLevel="0" r="360">
      <c r="A360" s="18" t="s">
        <v>872</v>
      </c>
      <c r="B360" s="18" t="s">
        <v>873</v>
      </c>
      <c r="C360" s="18"/>
      <c r="D360" s="18" t="s">
        <v>556</v>
      </c>
      <c r="E360" s="18" t="s">
        <v>55</v>
      </c>
      <c r="F360" s="18"/>
      <c r="G360" s="18" t="s">
        <v>14</v>
      </c>
      <c r="H360" s="19" t="n">
        <v>43187.0848114931</v>
      </c>
      <c r="I360" s="20" t="n">
        <v>43187.0848114931</v>
      </c>
      <c r="J360" s="19" t="n">
        <v>43182.692208206</v>
      </c>
      <c r="K360" s="20" t="n">
        <v>43182.692208206</v>
      </c>
      <c r="L360" s="18" t="s">
        <v>15</v>
      </c>
      <c r="M360" s="18"/>
      <c r="N360" s="18"/>
      <c r="O360" s="18"/>
      <c r="P360" s="18" t="s">
        <v>16</v>
      </c>
    </row>
    <row collapsed="false" customFormat="false" customHeight="true" hidden="false" ht="25.5" outlineLevel="0" r="361">
      <c r="A361" s="18" t="s">
        <v>874</v>
      </c>
      <c r="B361" s="18" t="s">
        <v>873</v>
      </c>
      <c r="C361" s="18"/>
      <c r="D361" s="18" t="s">
        <v>556</v>
      </c>
      <c r="E361" s="18" t="s">
        <v>55</v>
      </c>
      <c r="F361" s="18"/>
      <c r="G361" s="18" t="s">
        <v>14</v>
      </c>
      <c r="H361" s="19" t="n">
        <v>43187.0848131018</v>
      </c>
      <c r="I361" s="20" t="n">
        <v>43187.0848131018</v>
      </c>
      <c r="J361" s="19" t="n">
        <v>43182.6939126505</v>
      </c>
      <c r="K361" s="20" t="n">
        <v>43182.6939126505</v>
      </c>
      <c r="L361" s="18" t="s">
        <v>15</v>
      </c>
      <c r="M361" s="18"/>
      <c r="N361" s="18"/>
      <c r="O361" s="18"/>
      <c r="P361" s="18" t="s">
        <v>16</v>
      </c>
    </row>
    <row collapsed="false" customFormat="false" customHeight="true" hidden="false" ht="25.5" outlineLevel="0" r="362">
      <c r="A362" s="18" t="s">
        <v>875</v>
      </c>
      <c r="B362" s="18" t="s">
        <v>873</v>
      </c>
      <c r="C362" s="18"/>
      <c r="D362" s="18" t="s">
        <v>556</v>
      </c>
      <c r="E362" s="18" t="s">
        <v>55</v>
      </c>
      <c r="F362" s="18"/>
      <c r="G362" s="18" t="s">
        <v>14</v>
      </c>
      <c r="H362" s="19" t="n">
        <v>43187.0848147454</v>
      </c>
      <c r="I362" s="20" t="n">
        <v>43187.0848147454</v>
      </c>
      <c r="J362" s="19" t="n">
        <v>43182.6948825116</v>
      </c>
      <c r="K362" s="20" t="n">
        <v>43182.6948825116</v>
      </c>
      <c r="L362" s="18" t="s">
        <v>15</v>
      </c>
      <c r="M362" s="18"/>
      <c r="N362" s="18"/>
      <c r="O362" s="18"/>
      <c r="P362" s="18" t="s">
        <v>16</v>
      </c>
    </row>
    <row collapsed="false" customFormat="false" customHeight="true" hidden="false" ht="25.5" outlineLevel="0" r="363">
      <c r="A363" s="18" t="s">
        <v>876</v>
      </c>
      <c r="B363" s="18" t="s">
        <v>312</v>
      </c>
      <c r="C363" s="18"/>
      <c r="D363" s="18" t="s">
        <v>54</v>
      </c>
      <c r="E363" s="18" t="s">
        <v>72</v>
      </c>
      <c r="F363" s="18"/>
      <c r="G363" s="18" t="s">
        <v>14</v>
      </c>
      <c r="H363" s="19" t="n">
        <v>43209.6257223032</v>
      </c>
      <c r="I363" s="20" t="n">
        <v>43209.6257223032</v>
      </c>
      <c r="J363" s="19" t="n">
        <v>43193.4634357986</v>
      </c>
      <c r="K363" s="20" t="n">
        <v>43193.4634357986</v>
      </c>
      <c r="L363" s="18" t="s">
        <v>15</v>
      </c>
      <c r="M363" s="18"/>
      <c r="N363" s="18"/>
      <c r="O363" s="18"/>
      <c r="P363" s="18" t="s">
        <v>58</v>
      </c>
    </row>
    <row collapsed="false" customFormat="false" customHeight="true" hidden="false" ht="25.5" outlineLevel="0" r="364">
      <c r="A364" s="18" t="s">
        <v>877</v>
      </c>
      <c r="B364" s="18" t="s">
        <v>878</v>
      </c>
      <c r="C364" s="18"/>
      <c r="D364" s="18" t="s">
        <v>728</v>
      </c>
      <c r="E364" s="18" t="s">
        <v>728</v>
      </c>
      <c r="F364" s="18"/>
      <c r="G364" s="18" t="s">
        <v>14</v>
      </c>
      <c r="H364" s="19" t="n">
        <v>43195.6853512847</v>
      </c>
      <c r="I364" s="20" t="n">
        <v>43195.6853512847</v>
      </c>
      <c r="J364" s="19" t="n">
        <v>43193.5007320486</v>
      </c>
      <c r="K364" s="20" t="n">
        <v>43193.5007320486</v>
      </c>
      <c r="L364" s="18" t="s">
        <v>15</v>
      </c>
      <c r="M364" s="18"/>
      <c r="N364" s="18"/>
      <c r="O364" s="18"/>
      <c r="P364" s="18" t="s">
        <v>58</v>
      </c>
    </row>
    <row collapsed="false" customFormat="false" customHeight="true" hidden="false" ht="25.5" outlineLevel="0" r="365">
      <c r="A365" s="18" t="s">
        <v>879</v>
      </c>
      <c r="B365" s="18" t="s">
        <v>880</v>
      </c>
      <c r="C365" s="18"/>
      <c r="D365" s="18" t="s">
        <v>183</v>
      </c>
      <c r="E365" s="18" t="s">
        <v>183</v>
      </c>
      <c r="F365" s="18"/>
      <c r="G365" s="18" t="s">
        <v>14</v>
      </c>
      <c r="H365" s="19" t="n">
        <v>43196.0841189583</v>
      </c>
      <c r="I365" s="20" t="n">
        <v>43196.0841189583</v>
      </c>
      <c r="J365" s="19" t="n">
        <v>43193.547248125</v>
      </c>
      <c r="K365" s="20" t="n">
        <v>43193.547248125</v>
      </c>
      <c r="L365" s="18" t="s">
        <v>15</v>
      </c>
      <c r="M365" s="18"/>
      <c r="N365" s="18"/>
      <c r="O365" s="18"/>
      <c r="P365" s="18" t="s">
        <v>58</v>
      </c>
    </row>
    <row collapsed="false" customFormat="false" customHeight="true" hidden="false" ht="25.5" outlineLevel="0" r="366">
      <c r="A366" s="18" t="s">
        <v>881</v>
      </c>
      <c r="B366" s="18" t="s">
        <v>882</v>
      </c>
      <c r="C366" s="18"/>
      <c r="D366" s="18" t="s">
        <v>854</v>
      </c>
      <c r="E366" s="18" t="s">
        <v>28</v>
      </c>
      <c r="F366" s="18"/>
      <c r="G366" s="18" t="s">
        <v>14</v>
      </c>
      <c r="H366" s="19" t="n">
        <v>43196.084207037</v>
      </c>
      <c r="I366" s="20" t="n">
        <v>43196.084207037</v>
      </c>
      <c r="J366" s="19" t="n">
        <v>43193.9428476389</v>
      </c>
      <c r="K366" s="20" t="n">
        <v>43193.9428476389</v>
      </c>
      <c r="L366" s="18" t="s">
        <v>15</v>
      </c>
      <c r="M366" s="18"/>
      <c r="N366" s="18"/>
      <c r="O366" s="18"/>
      <c r="P366" s="18" t="s">
        <v>58</v>
      </c>
    </row>
    <row collapsed="false" customFormat="false" customHeight="true" hidden="false" ht="25.5" outlineLevel="0" r="367">
      <c r="A367" s="18" t="s">
        <v>883</v>
      </c>
      <c r="B367" s="18" t="s">
        <v>884</v>
      </c>
      <c r="C367" s="18"/>
      <c r="D367" s="18" t="s">
        <v>494</v>
      </c>
      <c r="E367" s="18" t="s">
        <v>494</v>
      </c>
      <c r="F367" s="18"/>
      <c r="G367" s="18" t="s">
        <v>14</v>
      </c>
      <c r="H367" s="19" t="n">
        <v>43202.0855064583</v>
      </c>
      <c r="I367" s="20" t="n">
        <v>43202.0855064583</v>
      </c>
      <c r="J367" s="19" t="n">
        <v>43196.7927089236</v>
      </c>
      <c r="K367" s="20" t="n">
        <v>43196.7927089236</v>
      </c>
      <c r="L367" s="18" t="s">
        <v>15</v>
      </c>
      <c r="M367" s="18"/>
      <c r="N367" s="18"/>
      <c r="O367" s="18"/>
      <c r="P367" s="18" t="s">
        <v>58</v>
      </c>
    </row>
    <row collapsed="false" customFormat="false" customHeight="true" hidden="false" ht="25.5" outlineLevel="0" r="368">
      <c r="A368" s="18" t="s">
        <v>885</v>
      </c>
      <c r="B368" s="18" t="s">
        <v>886</v>
      </c>
      <c r="C368" s="18"/>
      <c r="D368" s="18" t="s">
        <v>140</v>
      </c>
      <c r="E368" s="18" t="s">
        <v>55</v>
      </c>
      <c r="F368" s="18"/>
      <c r="G368" s="18" t="s">
        <v>14</v>
      </c>
      <c r="H368" s="19" t="n">
        <v>43209.0848317824</v>
      </c>
      <c r="I368" s="20" t="n">
        <v>43209.0848317824</v>
      </c>
      <c r="J368" s="19" t="n">
        <v>43201.5538836574</v>
      </c>
      <c r="K368" s="20" t="n">
        <v>43201.5538836574</v>
      </c>
      <c r="L368" s="18" t="s">
        <v>15</v>
      </c>
      <c r="M368" s="18"/>
      <c r="N368" s="18"/>
      <c r="O368" s="18"/>
      <c r="P368" s="18" t="s">
        <v>58</v>
      </c>
    </row>
    <row collapsed="false" customFormat="false" customHeight="true" hidden="false" ht="25.5" outlineLevel="0" r="369">
      <c r="A369" s="18" t="s">
        <v>887</v>
      </c>
      <c r="B369" s="18" t="s">
        <v>888</v>
      </c>
      <c r="C369" s="18"/>
      <c r="D369" s="18" t="s">
        <v>375</v>
      </c>
      <c r="E369" s="18" t="s">
        <v>208</v>
      </c>
      <c r="F369" s="18"/>
      <c r="G369" s="18" t="s">
        <v>14</v>
      </c>
      <c r="H369" s="19" t="n">
        <v>43253.0834893287</v>
      </c>
      <c r="I369" s="20" t="n">
        <v>43253.0834893287</v>
      </c>
      <c r="J369" s="19" t="n">
        <v>43203.4985190856</v>
      </c>
      <c r="K369" s="20" t="n">
        <v>43203.4985190856</v>
      </c>
      <c r="L369" s="18" t="s">
        <v>15</v>
      </c>
      <c r="M369" s="18"/>
      <c r="N369" s="18"/>
      <c r="O369" s="18"/>
      <c r="P369" s="18" t="s">
        <v>16</v>
      </c>
    </row>
    <row collapsed="false" customFormat="false" customHeight="true" hidden="false" ht="25.5" outlineLevel="0" r="370">
      <c r="A370" s="18" t="s">
        <v>889</v>
      </c>
      <c r="B370" s="18" t="s">
        <v>890</v>
      </c>
      <c r="C370" s="18"/>
      <c r="D370" s="18" t="s">
        <v>891</v>
      </c>
      <c r="E370" s="18" t="s">
        <v>72</v>
      </c>
      <c r="F370" s="18"/>
      <c r="G370" s="18" t="s">
        <v>14</v>
      </c>
      <c r="H370" s="19" t="n">
        <v>43255.0834878704</v>
      </c>
      <c r="I370" s="20" t="n">
        <v>43255.0834878704</v>
      </c>
      <c r="J370" s="19" t="n">
        <v>43207.7337729282</v>
      </c>
      <c r="K370" s="20" t="n">
        <v>43207.7337729282</v>
      </c>
      <c r="L370" s="18" t="s">
        <v>15</v>
      </c>
      <c r="M370" s="18"/>
      <c r="N370" s="18"/>
      <c r="O370" s="18"/>
      <c r="P370" s="18" t="s">
        <v>16</v>
      </c>
    </row>
    <row collapsed="false" customFormat="false" customHeight="true" hidden="false" ht="38.25" outlineLevel="0" r="371">
      <c r="A371" s="18" t="s">
        <v>892</v>
      </c>
      <c r="B371" s="18" t="s">
        <v>893</v>
      </c>
      <c r="C371" s="18"/>
      <c r="D371" s="18" t="s">
        <v>894</v>
      </c>
      <c r="E371" s="18" t="s">
        <v>115</v>
      </c>
      <c r="F371" s="18"/>
      <c r="G371" s="18" t="s">
        <v>14</v>
      </c>
      <c r="H371" s="19" t="n">
        <v>43233.1252470023</v>
      </c>
      <c r="I371" s="20" t="n">
        <v>43233.1252470023</v>
      </c>
      <c r="J371" s="19" t="n">
        <v>43208.613928125</v>
      </c>
      <c r="K371" s="20" t="n">
        <v>43208.613928125</v>
      </c>
      <c r="L371" s="18" t="s">
        <v>15</v>
      </c>
      <c r="M371" s="18"/>
      <c r="N371" s="18"/>
      <c r="O371" s="18"/>
      <c r="P371" s="18" t="s">
        <v>16</v>
      </c>
    </row>
    <row collapsed="false" customFormat="false" customHeight="true" hidden="false" ht="25.5" outlineLevel="0" r="372">
      <c r="A372" s="18" t="s">
        <v>895</v>
      </c>
      <c r="B372" s="18" t="s">
        <v>896</v>
      </c>
      <c r="C372" s="18"/>
      <c r="D372" s="18" t="s">
        <v>154</v>
      </c>
      <c r="E372" s="18" t="s">
        <v>72</v>
      </c>
      <c r="F372" s="18"/>
      <c r="G372" s="18" t="s">
        <v>14</v>
      </c>
      <c r="H372" s="19" t="n">
        <v>43216.084111713</v>
      </c>
      <c r="I372" s="20" t="n">
        <v>43216.084111713</v>
      </c>
      <c r="J372" s="19" t="n">
        <v>43208.6656679861</v>
      </c>
      <c r="K372" s="20" t="n">
        <v>43208.6656679861</v>
      </c>
      <c r="L372" s="18" t="s">
        <v>15</v>
      </c>
      <c r="M372" s="18"/>
      <c r="N372" s="18"/>
      <c r="O372" s="18"/>
      <c r="P372" s="18" t="s">
        <v>46</v>
      </c>
    </row>
    <row collapsed="false" customFormat="false" customHeight="true" hidden="false" ht="25.5" outlineLevel="0" r="373">
      <c r="A373" s="18" t="s">
        <v>897</v>
      </c>
      <c r="B373" s="18" t="s">
        <v>898</v>
      </c>
      <c r="C373" s="18"/>
      <c r="D373" s="18" t="s">
        <v>240</v>
      </c>
      <c r="E373" s="18" t="s">
        <v>28</v>
      </c>
      <c r="F373" s="18"/>
      <c r="G373" s="18" t="s">
        <v>14</v>
      </c>
      <c r="H373" s="19" t="n">
        <v>43217.0838972569</v>
      </c>
      <c r="I373" s="20" t="n">
        <v>43217.0838972569</v>
      </c>
      <c r="J373" s="19" t="n">
        <v>43208.7689821065</v>
      </c>
      <c r="K373" s="20" t="n">
        <v>43208.7689821065</v>
      </c>
      <c r="L373" s="18" t="s">
        <v>15</v>
      </c>
      <c r="M373" s="18"/>
      <c r="N373" s="18"/>
      <c r="O373" s="18"/>
      <c r="P373" s="18" t="s">
        <v>58</v>
      </c>
    </row>
    <row collapsed="false" customFormat="false" customHeight="true" hidden="false" ht="25.5" outlineLevel="0" r="374">
      <c r="A374" s="18" t="s">
        <v>899</v>
      </c>
      <c r="B374" s="18" t="s">
        <v>900</v>
      </c>
      <c r="C374" s="18"/>
      <c r="D374" s="18" t="s">
        <v>556</v>
      </c>
      <c r="E374" s="18" t="s">
        <v>28</v>
      </c>
      <c r="F374" s="18"/>
      <c r="G374" s="18" t="s">
        <v>14</v>
      </c>
      <c r="H374" s="19" t="n">
        <v>43216.0847094097</v>
      </c>
      <c r="I374" s="20" t="n">
        <v>43216.0847094097</v>
      </c>
      <c r="J374" s="19" t="n">
        <v>43213.7007715162</v>
      </c>
      <c r="K374" s="20" t="n">
        <v>43213.7007715162</v>
      </c>
      <c r="L374" s="18" t="s">
        <v>15</v>
      </c>
      <c r="M374" s="18"/>
      <c r="N374" s="18"/>
      <c r="O374" s="18"/>
      <c r="P374" s="18" t="s">
        <v>58</v>
      </c>
    </row>
    <row collapsed="false" customFormat="false" customHeight="true" hidden="false" ht="25.5" outlineLevel="0" r="375">
      <c r="A375" s="18" t="s">
        <v>901</v>
      </c>
      <c r="B375" s="18" t="s">
        <v>902</v>
      </c>
      <c r="C375" s="18"/>
      <c r="D375" s="18" t="s">
        <v>556</v>
      </c>
      <c r="E375" s="18" t="s">
        <v>28</v>
      </c>
      <c r="F375" s="18"/>
      <c r="G375" s="18" t="s">
        <v>14</v>
      </c>
      <c r="H375" s="19" t="n">
        <v>43216.0847238426</v>
      </c>
      <c r="I375" s="20" t="n">
        <v>43216.0847238426</v>
      </c>
      <c r="J375" s="19" t="n">
        <v>43213.702758912</v>
      </c>
      <c r="K375" s="20" t="n">
        <v>43213.702758912</v>
      </c>
      <c r="L375" s="18" t="s">
        <v>15</v>
      </c>
      <c r="M375" s="18"/>
      <c r="N375" s="18"/>
      <c r="O375" s="18"/>
      <c r="P375" s="18" t="s">
        <v>58</v>
      </c>
    </row>
    <row collapsed="false" customFormat="false" customHeight="true" hidden="false" ht="25.5" outlineLevel="0" r="376">
      <c r="A376" s="18" t="s">
        <v>903</v>
      </c>
      <c r="B376" s="18" t="s">
        <v>904</v>
      </c>
      <c r="C376" s="18"/>
      <c r="D376" s="18" t="s">
        <v>905</v>
      </c>
      <c r="E376" s="18" t="s">
        <v>906</v>
      </c>
      <c r="F376" s="18"/>
      <c r="G376" s="18" t="s">
        <v>14</v>
      </c>
      <c r="H376" s="19" t="n">
        <v>43226.0001602199</v>
      </c>
      <c r="I376" s="20" t="n">
        <v>43226.0001602199</v>
      </c>
      <c r="J376" s="19" t="n">
        <v>43216.7173900579</v>
      </c>
      <c r="K376" s="20" t="n">
        <v>43216.7173900579</v>
      </c>
      <c r="L376" s="18" t="s">
        <v>15</v>
      </c>
      <c r="M376" s="18"/>
      <c r="N376" s="18"/>
      <c r="O376" s="18"/>
      <c r="P376" s="18" t="s">
        <v>58</v>
      </c>
    </row>
    <row collapsed="false" customFormat="false" customHeight="true" hidden="false" ht="25.5" outlineLevel="0" r="377">
      <c r="A377" s="18" t="s">
        <v>907</v>
      </c>
      <c r="B377" s="18" t="s">
        <v>908</v>
      </c>
      <c r="C377" s="18"/>
      <c r="D377" s="18" t="s">
        <v>909</v>
      </c>
      <c r="E377" s="18" t="s">
        <v>28</v>
      </c>
      <c r="F377" s="18"/>
      <c r="G377" s="18" t="s">
        <v>14</v>
      </c>
      <c r="H377" s="19" t="n">
        <v>43229.2918411806</v>
      </c>
      <c r="I377" s="20" t="n">
        <v>43229.2918411806</v>
      </c>
      <c r="J377" s="19" t="n">
        <v>43217.6961291898</v>
      </c>
      <c r="K377" s="20" t="n">
        <v>43217.6961291898</v>
      </c>
      <c r="L377" s="18" t="s">
        <v>15</v>
      </c>
      <c r="M377" s="18"/>
      <c r="N377" s="18"/>
      <c r="O377" s="18"/>
      <c r="P377" s="18" t="s">
        <v>16</v>
      </c>
    </row>
    <row collapsed="false" customFormat="false" customHeight="true" hidden="false" ht="25.5" outlineLevel="0" r="378">
      <c r="A378" s="18" t="s">
        <v>910</v>
      </c>
      <c r="B378" s="18" t="s">
        <v>57</v>
      </c>
      <c r="C378" s="18"/>
      <c r="D378" s="18" t="s">
        <v>54</v>
      </c>
      <c r="E378" s="18" t="s">
        <v>72</v>
      </c>
      <c r="F378" s="18"/>
      <c r="G378" s="18" t="s">
        <v>14</v>
      </c>
      <c r="H378" s="19" t="n">
        <v>43226.0001684606</v>
      </c>
      <c r="I378" s="20" t="n">
        <v>43226.0001684606</v>
      </c>
      <c r="J378" s="19" t="n">
        <v>43223.4279161227</v>
      </c>
      <c r="K378" s="20" t="n">
        <v>43223.4279161227</v>
      </c>
      <c r="L378" s="18" t="s">
        <v>15</v>
      </c>
      <c r="M378" s="18"/>
      <c r="N378" s="18"/>
      <c r="O378" s="18"/>
      <c r="P378" s="18" t="s">
        <v>58</v>
      </c>
    </row>
    <row collapsed="false" customFormat="false" customHeight="true" hidden="false" ht="25.5" outlineLevel="0" r="379">
      <c r="A379" s="18" t="s">
        <v>911</v>
      </c>
      <c r="B379" s="18" t="s">
        <v>912</v>
      </c>
      <c r="C379" s="18"/>
      <c r="D379" s="18" t="s">
        <v>913</v>
      </c>
      <c r="E379" s="18" t="s">
        <v>115</v>
      </c>
      <c r="F379" s="18"/>
      <c r="G379" s="18" t="s">
        <v>14</v>
      </c>
      <c r="H379" s="19" t="n">
        <v>43229.0849535185</v>
      </c>
      <c r="I379" s="20" t="n">
        <v>43229.0849535185</v>
      </c>
      <c r="J379" s="19" t="n">
        <v>43224.4206784607</v>
      </c>
      <c r="K379" s="20" t="n">
        <v>43224.4206784607</v>
      </c>
      <c r="L379" s="18" t="s">
        <v>15</v>
      </c>
      <c r="M379" s="18"/>
      <c r="N379" s="18"/>
      <c r="O379" s="18"/>
      <c r="P379" s="18" t="s">
        <v>58</v>
      </c>
    </row>
    <row collapsed="false" customFormat="false" customHeight="true" hidden="false" ht="25.5" outlineLevel="0" r="380">
      <c r="A380" s="18" t="s">
        <v>914</v>
      </c>
      <c r="B380" s="18" t="s">
        <v>915</v>
      </c>
      <c r="C380" s="18"/>
      <c r="D380" s="18" t="s">
        <v>728</v>
      </c>
      <c r="E380" s="18" t="s">
        <v>401</v>
      </c>
      <c r="F380" s="18"/>
      <c r="G380" s="18" t="s">
        <v>14</v>
      </c>
      <c r="H380" s="19" t="n">
        <v>43229.1251768634</v>
      </c>
      <c r="I380" s="20" t="n">
        <v>43229.1251768634</v>
      </c>
      <c r="J380" s="19" t="n">
        <v>43224.5367589236</v>
      </c>
      <c r="K380" s="20" t="n">
        <v>43224.5367589236</v>
      </c>
      <c r="L380" s="18" t="s">
        <v>15</v>
      </c>
      <c r="M380" s="18"/>
      <c r="N380" s="18"/>
      <c r="O380" s="18"/>
      <c r="P380" s="18" t="s">
        <v>16</v>
      </c>
    </row>
    <row collapsed="false" customFormat="false" customHeight="true" hidden="false" ht="25.5" outlineLevel="0" r="381">
      <c r="A381" s="18" t="s">
        <v>916</v>
      </c>
      <c r="B381" s="18" t="s">
        <v>917</v>
      </c>
      <c r="C381" s="18"/>
      <c r="D381" s="18" t="s">
        <v>918</v>
      </c>
      <c r="E381" s="18" t="s">
        <v>28</v>
      </c>
      <c r="F381" s="18"/>
      <c r="G381" s="18" t="s">
        <v>14</v>
      </c>
      <c r="H381" s="19" t="n">
        <v>43245.0841348032</v>
      </c>
      <c r="I381" s="20" t="n">
        <v>43245.0841348032</v>
      </c>
      <c r="J381" s="19" t="n">
        <v>43229.7558914468</v>
      </c>
      <c r="K381" s="20" t="n">
        <v>43229.7558914468</v>
      </c>
      <c r="L381" s="18" t="s">
        <v>15</v>
      </c>
      <c r="M381" s="18"/>
      <c r="N381" s="18"/>
      <c r="O381" s="18"/>
      <c r="P381" s="18" t="s">
        <v>16</v>
      </c>
    </row>
    <row collapsed="false" customFormat="false" customHeight="true" hidden="false" ht="25.5" outlineLevel="0" r="382">
      <c r="A382" s="18" t="s">
        <v>919</v>
      </c>
      <c r="B382" s="18" t="s">
        <v>920</v>
      </c>
      <c r="C382" s="18"/>
      <c r="D382" s="18" t="s">
        <v>728</v>
      </c>
      <c r="E382" s="18" t="s">
        <v>277</v>
      </c>
      <c r="F382" s="18"/>
      <c r="G382" s="18" t="s">
        <v>14</v>
      </c>
      <c r="H382" s="19" t="n">
        <v>43232.0850143287</v>
      </c>
      <c r="I382" s="20" t="n">
        <v>43232.0850143287</v>
      </c>
      <c r="J382" s="19" t="n">
        <v>43230.4222045486</v>
      </c>
      <c r="K382" s="20" t="n">
        <v>43230.4222045486</v>
      </c>
      <c r="L382" s="18" t="s">
        <v>15</v>
      </c>
      <c r="M382" s="18"/>
      <c r="N382" s="18"/>
      <c r="O382" s="18"/>
      <c r="P382" s="18" t="s">
        <v>58</v>
      </c>
    </row>
    <row collapsed="false" customFormat="false" customHeight="true" hidden="false" ht="25.5" outlineLevel="0" r="383">
      <c r="A383" s="18" t="s">
        <v>921</v>
      </c>
      <c r="B383" s="18" t="s">
        <v>922</v>
      </c>
      <c r="C383" s="18"/>
      <c r="D383" s="18" t="s">
        <v>923</v>
      </c>
      <c r="E383" s="18" t="s">
        <v>72</v>
      </c>
      <c r="F383" s="18"/>
      <c r="G383" s="18" t="s">
        <v>14</v>
      </c>
      <c r="H383" s="19" t="n">
        <v>43259.0836606829</v>
      </c>
      <c r="I383" s="20" t="n">
        <v>43259.0836606829</v>
      </c>
      <c r="J383" s="19" t="n">
        <v>43230.5192152315</v>
      </c>
      <c r="K383" s="20" t="n">
        <v>43230.5192152315</v>
      </c>
      <c r="L383" s="18" t="s">
        <v>15</v>
      </c>
      <c r="M383" s="18"/>
      <c r="N383" s="18"/>
      <c r="O383" s="18"/>
      <c r="P383" s="18" t="s">
        <v>16</v>
      </c>
    </row>
    <row collapsed="false" customFormat="false" customHeight="true" hidden="false" ht="25.5" outlineLevel="0" r="384">
      <c r="A384" s="18" t="s">
        <v>924</v>
      </c>
      <c r="B384" s="18" t="s">
        <v>925</v>
      </c>
      <c r="C384" s="18"/>
      <c r="D384" s="18" t="s">
        <v>926</v>
      </c>
      <c r="E384" s="18" t="s">
        <v>811</v>
      </c>
      <c r="F384" s="18"/>
      <c r="G384" s="18" t="s">
        <v>14</v>
      </c>
      <c r="H384" s="19" t="n">
        <v>43240.9588778241</v>
      </c>
      <c r="I384" s="20" t="n">
        <v>43240.9588778241</v>
      </c>
      <c r="J384" s="19" t="n">
        <v>43230.5712833449</v>
      </c>
      <c r="K384" s="20" t="n">
        <v>43230.5712833449</v>
      </c>
      <c r="L384" s="18" t="s">
        <v>15</v>
      </c>
      <c r="M384" s="18"/>
      <c r="N384" s="18"/>
      <c r="O384" s="18"/>
      <c r="P384" s="18" t="s">
        <v>16</v>
      </c>
    </row>
    <row collapsed="false" customFormat="false" customHeight="true" hidden="false" ht="25.5" outlineLevel="0" r="385">
      <c r="A385" s="18" t="s">
        <v>927</v>
      </c>
      <c r="B385" s="18" t="s">
        <v>928</v>
      </c>
      <c r="C385" s="18"/>
      <c r="D385" s="18" t="s">
        <v>154</v>
      </c>
      <c r="E385" s="18" t="s">
        <v>72</v>
      </c>
      <c r="F385" s="18"/>
      <c r="G385" s="18" t="s">
        <v>14</v>
      </c>
      <c r="H385" s="19" t="n">
        <v>43252.0835796875</v>
      </c>
      <c r="I385" s="20" t="n">
        <v>43252.0835796875</v>
      </c>
      <c r="J385" s="19" t="n">
        <v>43234.7171812731</v>
      </c>
      <c r="K385" s="20" t="n">
        <v>43234.7171812731</v>
      </c>
      <c r="L385" s="18" t="s">
        <v>15</v>
      </c>
      <c r="M385" s="18"/>
      <c r="N385" s="18"/>
      <c r="O385" s="18"/>
      <c r="P385" s="18" t="s">
        <v>16</v>
      </c>
    </row>
    <row collapsed="false" customFormat="false" customHeight="true" hidden="false" ht="25.5" outlineLevel="0" r="386">
      <c r="A386" s="18" t="s">
        <v>929</v>
      </c>
      <c r="B386" s="18" t="s">
        <v>930</v>
      </c>
      <c r="C386" s="18"/>
      <c r="D386" s="18" t="s">
        <v>931</v>
      </c>
      <c r="E386" s="18" t="s">
        <v>241</v>
      </c>
      <c r="F386" s="18"/>
      <c r="G386" s="18" t="s">
        <v>14</v>
      </c>
      <c r="H386" s="19" t="n">
        <v>43253.083530162</v>
      </c>
      <c r="I386" s="20" t="n">
        <v>43253.083530162</v>
      </c>
      <c r="J386" s="19" t="n">
        <v>43235.7191699537</v>
      </c>
      <c r="K386" s="20" t="n">
        <v>43235.7191699537</v>
      </c>
      <c r="L386" s="18" t="s">
        <v>15</v>
      </c>
      <c r="M386" s="18"/>
      <c r="N386" s="18"/>
      <c r="O386" s="18"/>
      <c r="P386" s="18" t="s">
        <v>16</v>
      </c>
    </row>
    <row collapsed="false" customFormat="false" customHeight="true" hidden="false" ht="25.5" outlineLevel="0" r="387">
      <c r="A387" s="18" t="s">
        <v>932</v>
      </c>
      <c r="B387" s="18" t="s">
        <v>933</v>
      </c>
      <c r="C387" s="18"/>
      <c r="D387" s="18" t="s">
        <v>934</v>
      </c>
      <c r="E387" s="18" t="s">
        <v>401</v>
      </c>
      <c r="F387" s="18"/>
      <c r="G387" s="18" t="s">
        <v>14</v>
      </c>
      <c r="H387" s="19" t="n">
        <v>43244.3750896991</v>
      </c>
      <c r="I387" s="20" t="n">
        <v>43244.3750896991</v>
      </c>
      <c r="J387" s="19" t="n">
        <v>43236.5355537384</v>
      </c>
      <c r="K387" s="20" t="n">
        <v>43236.5355537384</v>
      </c>
      <c r="L387" s="18" t="s">
        <v>15</v>
      </c>
      <c r="M387" s="18"/>
      <c r="N387" s="18"/>
      <c r="O387" s="18"/>
      <c r="P387" s="18" t="s">
        <v>16</v>
      </c>
    </row>
    <row collapsed="false" customFormat="false" customHeight="true" hidden="false" ht="25.5" outlineLevel="0" r="388">
      <c r="A388" s="18" t="s">
        <v>935</v>
      </c>
      <c r="B388" s="18" t="s">
        <v>936</v>
      </c>
      <c r="C388" s="18"/>
      <c r="D388" s="18" t="s">
        <v>937</v>
      </c>
      <c r="E388" s="18" t="s">
        <v>37</v>
      </c>
      <c r="F388" s="18"/>
      <c r="G388" s="18" t="s">
        <v>14</v>
      </c>
      <c r="H388" s="19" t="n">
        <v>43240.8755502894</v>
      </c>
      <c r="I388" s="20" t="n">
        <v>43240.8755502894</v>
      </c>
      <c r="J388" s="19" t="n">
        <v>43236.6042149421</v>
      </c>
      <c r="K388" s="20" t="n">
        <v>43236.6042149421</v>
      </c>
      <c r="L388" s="18" t="s">
        <v>15</v>
      </c>
      <c r="M388" s="18"/>
      <c r="N388" s="18"/>
      <c r="O388" s="18"/>
      <c r="P388" s="18" t="s">
        <v>16</v>
      </c>
    </row>
    <row collapsed="false" customFormat="false" customHeight="true" hidden="false" ht="25.5" outlineLevel="0" r="389">
      <c r="A389" s="18" t="s">
        <v>938</v>
      </c>
      <c r="B389" s="18" t="s">
        <v>939</v>
      </c>
      <c r="C389" s="18"/>
      <c r="D389" s="18" t="s">
        <v>92</v>
      </c>
      <c r="E389" s="18" t="s">
        <v>28</v>
      </c>
      <c r="F389" s="18"/>
      <c r="G389" s="18" t="s">
        <v>14</v>
      </c>
      <c r="H389" s="19" t="n">
        <v>43252.0836761458</v>
      </c>
      <c r="I389" s="20" t="n">
        <v>43252.0836761458</v>
      </c>
      <c r="J389" s="19" t="n">
        <v>43236.8312245718</v>
      </c>
      <c r="K389" s="20" t="n">
        <v>43236.8312245718</v>
      </c>
      <c r="L389" s="18" t="s">
        <v>15</v>
      </c>
      <c r="M389" s="18"/>
      <c r="N389" s="18"/>
      <c r="O389" s="18"/>
      <c r="P389" s="18" t="s">
        <v>16</v>
      </c>
    </row>
    <row collapsed="false" customFormat="false" customHeight="true" hidden="false" ht="25.5" outlineLevel="0" r="390">
      <c r="A390" s="18" t="s">
        <v>940</v>
      </c>
      <c r="B390" s="18" t="s">
        <v>941</v>
      </c>
      <c r="C390" s="18"/>
      <c r="D390" s="18" t="s">
        <v>130</v>
      </c>
      <c r="E390" s="18" t="s">
        <v>241</v>
      </c>
      <c r="F390" s="18"/>
      <c r="G390" s="18" t="s">
        <v>14</v>
      </c>
      <c r="H390" s="19" t="n">
        <v>43251.0835027315</v>
      </c>
      <c r="I390" s="20" t="n">
        <v>43251.0835027315</v>
      </c>
      <c r="J390" s="19" t="n">
        <v>43237.412098831</v>
      </c>
      <c r="K390" s="20" t="n">
        <v>43237.412098831</v>
      </c>
      <c r="L390" s="18" t="s">
        <v>15</v>
      </c>
      <c r="M390" s="18"/>
      <c r="N390" s="18"/>
      <c r="O390" s="18"/>
      <c r="P390" s="18" t="s">
        <v>16</v>
      </c>
    </row>
    <row collapsed="false" customFormat="false" customHeight="true" hidden="false" ht="25.5" outlineLevel="0" r="391">
      <c r="A391" s="18" t="s">
        <v>942</v>
      </c>
      <c r="B391" s="18" t="s">
        <v>943</v>
      </c>
      <c r="C391" s="18"/>
      <c r="D391" s="18" t="s">
        <v>556</v>
      </c>
      <c r="E391" s="18" t="s">
        <v>55</v>
      </c>
      <c r="F391" s="18"/>
      <c r="G391" s="18" t="s">
        <v>14</v>
      </c>
      <c r="H391" s="19" t="n">
        <v>43245.084348588</v>
      </c>
      <c r="I391" s="20" t="n">
        <v>43245.084348588</v>
      </c>
      <c r="J391" s="19" t="n">
        <v>43243.4192312731</v>
      </c>
      <c r="K391" s="20" t="n">
        <v>43243.4192312731</v>
      </c>
      <c r="L391" s="18" t="s">
        <v>15</v>
      </c>
      <c r="M391" s="18"/>
      <c r="N391" s="18"/>
      <c r="O391" s="18"/>
      <c r="P391" s="18" t="s">
        <v>16</v>
      </c>
    </row>
    <row collapsed="false" customFormat="false" customHeight="true" hidden="false" ht="25.5" outlineLevel="0" r="392">
      <c r="A392" s="18" t="s">
        <v>944</v>
      </c>
      <c r="B392" s="18" t="s">
        <v>945</v>
      </c>
      <c r="C392" s="18"/>
      <c r="D392" s="18" t="s">
        <v>186</v>
      </c>
      <c r="E392" s="18" t="s">
        <v>240</v>
      </c>
      <c r="F392" s="18"/>
      <c r="G392" s="18" t="s">
        <v>14</v>
      </c>
      <c r="H392" s="19" t="n">
        <v>43257.0837602431</v>
      </c>
      <c r="I392" s="20" t="n">
        <v>43257.0837602431</v>
      </c>
      <c r="J392" s="19" t="n">
        <v>43243.6589849653</v>
      </c>
      <c r="K392" s="20" t="n">
        <v>43243.6589849653</v>
      </c>
      <c r="L392" s="18" t="s">
        <v>15</v>
      </c>
      <c r="M392" s="18"/>
      <c r="N392" s="18"/>
      <c r="O392" s="18"/>
      <c r="P392" s="18" t="s">
        <v>16</v>
      </c>
    </row>
    <row collapsed="false" customFormat="false" customHeight="true" hidden="false" ht="25.5" outlineLevel="0" r="393">
      <c r="A393" s="18" t="s">
        <v>946</v>
      </c>
      <c r="B393" s="18" t="s">
        <v>947</v>
      </c>
      <c r="C393" s="18"/>
      <c r="D393" s="18" t="s">
        <v>556</v>
      </c>
      <c r="E393" s="18" t="s">
        <v>45</v>
      </c>
      <c r="F393" s="18"/>
      <c r="G393" s="18" t="s">
        <v>14</v>
      </c>
      <c r="H393" s="19" t="n">
        <v>43259.0837097801</v>
      </c>
      <c r="I393" s="20" t="n">
        <v>43259.0837097801</v>
      </c>
      <c r="J393" s="19" t="n">
        <v>43250.4502130093</v>
      </c>
      <c r="K393" s="20" t="n">
        <v>43250.4502130093</v>
      </c>
      <c r="L393" s="18" t="s">
        <v>15</v>
      </c>
      <c r="M393" s="18"/>
      <c r="N393" s="18"/>
      <c r="O393" s="18"/>
      <c r="P393" s="18" t="s">
        <v>16</v>
      </c>
    </row>
    <row collapsed="false" customFormat="false" customHeight="true" hidden="false" ht="25.5" outlineLevel="0" r="394">
      <c r="A394" s="18" t="s">
        <v>948</v>
      </c>
      <c r="B394" s="18" t="s">
        <v>949</v>
      </c>
      <c r="C394" s="18"/>
      <c r="D394" s="18" t="s">
        <v>950</v>
      </c>
      <c r="E394" s="18" t="s">
        <v>241</v>
      </c>
      <c r="F394" s="18"/>
      <c r="G394" s="18" t="s">
        <v>14</v>
      </c>
      <c r="H394" s="19" t="n">
        <v>43254.6251647917</v>
      </c>
      <c r="I394" s="20" t="n">
        <v>43254.6251647917</v>
      </c>
      <c r="J394" s="19" t="n">
        <v>43251.6073176389</v>
      </c>
      <c r="K394" s="20" t="n">
        <v>43251.6073176389</v>
      </c>
      <c r="L394" s="18" t="s">
        <v>15</v>
      </c>
      <c r="M394" s="18"/>
      <c r="N394" s="18"/>
      <c r="O394" s="18"/>
      <c r="P394" s="18" t="s">
        <v>16</v>
      </c>
    </row>
    <row collapsed="false" customFormat="false" customHeight="true" hidden="false" ht="25.5" outlineLevel="0" r="395">
      <c r="A395" s="18" t="s">
        <v>951</v>
      </c>
      <c r="B395" s="18" t="s">
        <v>952</v>
      </c>
      <c r="C395" s="18"/>
      <c r="D395" s="18" t="s">
        <v>54</v>
      </c>
      <c r="E395" s="18" t="s">
        <v>72</v>
      </c>
      <c r="F395" s="18"/>
      <c r="G395" s="18" t="s">
        <v>848</v>
      </c>
      <c r="H395" s="19" t="n">
        <v>43255.4745603935</v>
      </c>
      <c r="I395" s="20" t="n">
        <v>43255.4745603935</v>
      </c>
      <c r="J395" s="19" t="n">
        <v>43255.4737618056</v>
      </c>
      <c r="K395" s="20" t="n">
        <v>43255.4737618056</v>
      </c>
      <c r="L395" s="18" t="s">
        <v>15</v>
      </c>
      <c r="M395" s="18"/>
      <c r="N395" s="18"/>
      <c r="O395" s="18"/>
      <c r="P395" s="18"/>
    </row>
    <row collapsed="false" customFormat="false" customHeight="true" hidden="false" ht="25.5" outlineLevel="0" r="396">
      <c r="A396" s="18" t="s">
        <v>953</v>
      </c>
      <c r="B396" s="18" t="s">
        <v>820</v>
      </c>
      <c r="C396" s="18"/>
      <c r="D396" s="18" t="s">
        <v>54</v>
      </c>
      <c r="E396" s="18" t="s">
        <v>183</v>
      </c>
      <c r="F396" s="18"/>
      <c r="G396" s="18" t="s">
        <v>848</v>
      </c>
      <c r="H396" s="19" t="n">
        <v>43255.4760766551</v>
      </c>
      <c r="I396" s="20" t="n">
        <v>43255.4760766551</v>
      </c>
      <c r="J396" s="19" t="n">
        <v>43255.4747455208</v>
      </c>
      <c r="K396" s="20" t="n">
        <v>43255.4747455208</v>
      </c>
      <c r="L396" s="18" t="s">
        <v>15</v>
      </c>
      <c r="M396" s="18"/>
      <c r="N396" s="18"/>
      <c r="O396" s="18"/>
      <c r="P396" s="18"/>
    </row>
    <row collapsed="false" customFormat="false" customHeight="true" hidden="false" ht="25.5" outlineLevel="0" r="397">
      <c r="A397" s="18" t="s">
        <v>954</v>
      </c>
      <c r="B397" s="18" t="s">
        <v>955</v>
      </c>
      <c r="C397" s="18"/>
      <c r="D397" s="18" t="s">
        <v>956</v>
      </c>
      <c r="E397" s="18" t="s">
        <v>72</v>
      </c>
      <c r="F397" s="18"/>
      <c r="G397" s="18" t="s">
        <v>14</v>
      </c>
      <c r="H397" s="19" t="n">
        <v>43259.0838933912</v>
      </c>
      <c r="I397" s="20" t="n">
        <v>43259.0838933912</v>
      </c>
      <c r="J397" s="19" t="n">
        <v>43255.512008831</v>
      </c>
      <c r="K397" s="20" t="n">
        <v>43255.512008831</v>
      </c>
      <c r="L397" s="18" t="s">
        <v>15</v>
      </c>
      <c r="M397" s="18"/>
      <c r="N397" s="18"/>
      <c r="O397" s="18"/>
      <c r="P397" s="18" t="s">
        <v>16</v>
      </c>
    </row>
    <row collapsed="false" customFormat="false" customHeight="true" hidden="false" ht="15" outlineLevel="0" r="398">
      <c r="A398" s="21" t="s">
        <v>964</v>
      </c>
      <c r="B398" s="21"/>
      <c r="C398" s="22" t="n">
        <v>394</v>
      </c>
      <c r="D398" s="22"/>
      <c r="E398" s="22"/>
      <c r="F398" s="22"/>
      <c r="G398" s="22"/>
      <c r="H398" s="22"/>
      <c r="I398" s="22"/>
      <c r="J398" s="22"/>
      <c r="K398" s="22"/>
      <c r="L398" s="22"/>
      <c r="M398" s="22"/>
      <c r="N398" s="22"/>
      <c r="O398" s="22"/>
      <c r="P398" s="22"/>
    </row>
    <row collapsed="false" customFormat="false" customHeight="false" hidden="false" ht="15" outlineLevel="0" r="399">
      <c r="A399" s="23"/>
      <c r="B399" s="23"/>
      <c r="C399" s="23"/>
      <c r="D399" s="23"/>
      <c r="E399" s="23"/>
      <c r="F399" s="23"/>
      <c r="G399" s="23"/>
      <c r="H399" s="23"/>
      <c r="I399" s="23"/>
      <c r="J399" s="23"/>
      <c r="K399" s="23"/>
      <c r="L399" s="23"/>
      <c r="M399" s="23"/>
      <c r="N399" s="23"/>
      <c r="O399" s="23"/>
      <c r="P399" s="23"/>
    </row>
    <row collapsed="false" customFormat="false" customHeight="true" hidden="false" ht="15" outlineLevel="0" r="400">
      <c r="A400" s="24" t="s">
        <v>965</v>
      </c>
      <c r="B400" s="24"/>
      <c r="C400" s="14" t="s">
        <v>966</v>
      </c>
      <c r="D400" s="14"/>
      <c r="E400" s="14"/>
      <c r="F400" s="14"/>
      <c r="G400" s="14"/>
      <c r="H400" s="14"/>
      <c r="I400" s="14"/>
      <c r="J400" s="14"/>
      <c r="K400" s="14"/>
      <c r="L400" s="14"/>
      <c r="M400" s="14"/>
      <c r="N400" s="14"/>
      <c r="O400" s="14"/>
      <c r="P400" s="14"/>
    </row>
    <row collapsed="false" customFormat="false" customHeight="true" hidden="false" ht="15" outlineLevel="0" r="401">
      <c r="A401" s="23" t="s">
        <v>967</v>
      </c>
      <c r="B401" s="23"/>
      <c r="C401" s="25"/>
      <c r="D401" s="25"/>
      <c r="E401" s="25"/>
      <c r="F401" s="25"/>
      <c r="G401" s="25"/>
      <c r="H401" s="25"/>
      <c r="I401" s="25"/>
      <c r="J401" s="25"/>
      <c r="K401" s="25"/>
      <c r="L401" s="25"/>
      <c r="M401" s="25"/>
      <c r="N401" s="25"/>
      <c r="O401" s="25"/>
      <c r="P401" s="25"/>
    </row>
    <row collapsed="false" customFormat="false" customHeight="true" hidden="false" ht="15" outlineLevel="0" r="402">
      <c r="A402" s="14" t="s">
        <v>972</v>
      </c>
      <c r="B402" s="14"/>
      <c r="C402" s="14"/>
      <c r="D402" s="14"/>
      <c r="E402" s="14"/>
      <c r="F402" s="15" t="s">
        <v>969</v>
      </c>
      <c r="G402" s="15"/>
      <c r="H402" s="15"/>
      <c r="I402" s="15"/>
      <c r="J402" s="15"/>
      <c r="K402" s="15"/>
      <c r="L402" s="15"/>
      <c r="M402" s="15" t="s">
        <v>970</v>
      </c>
      <c r="N402" s="15" t="s">
        <v>969</v>
      </c>
    </row>
  </sheetData>
  <mergeCells count="1202">
    <mergeCell ref="A1:E1"/>
    <mergeCell ref="F1:N1"/>
    <mergeCell ref="A2:P2"/>
    <mergeCell ref="B3:C3"/>
    <mergeCell ref="E3:F3"/>
    <mergeCell ref="H3:I3"/>
    <mergeCell ref="J3:K3"/>
    <mergeCell ref="L3:O3"/>
    <mergeCell ref="B4:C4"/>
    <mergeCell ref="E4:F4"/>
    <mergeCell ref="L4:O4"/>
    <mergeCell ref="B5:C5"/>
    <mergeCell ref="E5:F5"/>
    <mergeCell ref="L5:O5"/>
    <mergeCell ref="B6:C6"/>
    <mergeCell ref="E6:F6"/>
    <mergeCell ref="L6:O6"/>
    <mergeCell ref="B7:C7"/>
    <mergeCell ref="E7:F7"/>
    <mergeCell ref="L7:O7"/>
    <mergeCell ref="B8:C8"/>
    <mergeCell ref="E8:F8"/>
    <mergeCell ref="L8:O8"/>
    <mergeCell ref="B9:C9"/>
    <mergeCell ref="E9:F9"/>
    <mergeCell ref="L9:O9"/>
    <mergeCell ref="B10:C10"/>
    <mergeCell ref="E10:F10"/>
    <mergeCell ref="L10:O10"/>
    <mergeCell ref="B11:C11"/>
    <mergeCell ref="E11:F11"/>
    <mergeCell ref="L11:O11"/>
    <mergeCell ref="B12:C12"/>
    <mergeCell ref="E12:F12"/>
    <mergeCell ref="L12:O12"/>
    <mergeCell ref="B13:C13"/>
    <mergeCell ref="E13:F13"/>
    <mergeCell ref="L13:O13"/>
    <mergeCell ref="B14:C14"/>
    <mergeCell ref="E14:F14"/>
    <mergeCell ref="L14:O14"/>
    <mergeCell ref="B15:C15"/>
    <mergeCell ref="E15:F15"/>
    <mergeCell ref="L15:O15"/>
    <mergeCell ref="B16:C16"/>
    <mergeCell ref="E16:F16"/>
    <mergeCell ref="L16:O16"/>
    <mergeCell ref="B17:C17"/>
    <mergeCell ref="E17:F17"/>
    <mergeCell ref="L17:O17"/>
    <mergeCell ref="B18:C18"/>
    <mergeCell ref="E18:F18"/>
    <mergeCell ref="L18:O18"/>
    <mergeCell ref="B19:C19"/>
    <mergeCell ref="E19:F19"/>
    <mergeCell ref="L19:O19"/>
    <mergeCell ref="B20:C20"/>
    <mergeCell ref="E20:F20"/>
    <mergeCell ref="L20:O20"/>
    <mergeCell ref="B21:C21"/>
    <mergeCell ref="E21:F21"/>
    <mergeCell ref="L21:O21"/>
    <mergeCell ref="B22:C22"/>
    <mergeCell ref="E22:F22"/>
    <mergeCell ref="L22:O22"/>
    <mergeCell ref="B23:C23"/>
    <mergeCell ref="E23:F23"/>
    <mergeCell ref="L23:O23"/>
    <mergeCell ref="B24:C24"/>
    <mergeCell ref="E24:F24"/>
    <mergeCell ref="L24:O24"/>
    <mergeCell ref="B25:C25"/>
    <mergeCell ref="E25:F25"/>
    <mergeCell ref="L25:O25"/>
    <mergeCell ref="B26:C26"/>
    <mergeCell ref="E26:F26"/>
    <mergeCell ref="L26:O26"/>
    <mergeCell ref="B27:C27"/>
    <mergeCell ref="E27:F27"/>
    <mergeCell ref="L27:O27"/>
    <mergeCell ref="B28:C28"/>
    <mergeCell ref="E28:F28"/>
    <mergeCell ref="L28:O28"/>
    <mergeCell ref="B29:C29"/>
    <mergeCell ref="E29:F29"/>
    <mergeCell ref="L29:O29"/>
    <mergeCell ref="B30:C30"/>
    <mergeCell ref="E30:F30"/>
    <mergeCell ref="L30:O30"/>
    <mergeCell ref="B31:C31"/>
    <mergeCell ref="E31:F31"/>
    <mergeCell ref="L31:O31"/>
    <mergeCell ref="B32:C32"/>
    <mergeCell ref="E32:F32"/>
    <mergeCell ref="L32:O32"/>
    <mergeCell ref="B33:C33"/>
    <mergeCell ref="E33:F33"/>
    <mergeCell ref="L33:O33"/>
    <mergeCell ref="B34:C34"/>
    <mergeCell ref="E34:F34"/>
    <mergeCell ref="L34:O34"/>
    <mergeCell ref="B35:C35"/>
    <mergeCell ref="E35:F35"/>
    <mergeCell ref="L35:O35"/>
    <mergeCell ref="B36:C36"/>
    <mergeCell ref="E36:F36"/>
    <mergeCell ref="L36:O36"/>
    <mergeCell ref="B37:C37"/>
    <mergeCell ref="E37:F37"/>
    <mergeCell ref="L37:O37"/>
    <mergeCell ref="B38:C38"/>
    <mergeCell ref="E38:F38"/>
    <mergeCell ref="L38:O38"/>
    <mergeCell ref="B39:C39"/>
    <mergeCell ref="E39:F39"/>
    <mergeCell ref="L39:O39"/>
    <mergeCell ref="B40:C40"/>
    <mergeCell ref="E40:F40"/>
    <mergeCell ref="L40:O40"/>
    <mergeCell ref="B41:C41"/>
    <mergeCell ref="E41:F41"/>
    <mergeCell ref="L41:O41"/>
    <mergeCell ref="B42:C42"/>
    <mergeCell ref="E42:F42"/>
    <mergeCell ref="L42:O42"/>
    <mergeCell ref="B43:C43"/>
    <mergeCell ref="E43:F43"/>
    <mergeCell ref="L43:O43"/>
    <mergeCell ref="B44:C44"/>
    <mergeCell ref="E44:F44"/>
    <mergeCell ref="L44:O44"/>
    <mergeCell ref="B45:C45"/>
    <mergeCell ref="E45:F45"/>
    <mergeCell ref="L45:O45"/>
    <mergeCell ref="B46:C46"/>
    <mergeCell ref="E46:F46"/>
    <mergeCell ref="L46:O46"/>
    <mergeCell ref="B47:C47"/>
    <mergeCell ref="E47:F47"/>
    <mergeCell ref="L47:O47"/>
    <mergeCell ref="B48:C48"/>
    <mergeCell ref="E48:F48"/>
    <mergeCell ref="L48:O48"/>
    <mergeCell ref="B49:C49"/>
    <mergeCell ref="E49:F49"/>
    <mergeCell ref="L49:O49"/>
    <mergeCell ref="B50:C50"/>
    <mergeCell ref="E50:F50"/>
    <mergeCell ref="L50:O50"/>
    <mergeCell ref="B51:C51"/>
    <mergeCell ref="E51:F51"/>
    <mergeCell ref="L51:O51"/>
    <mergeCell ref="B52:C52"/>
    <mergeCell ref="E52:F52"/>
    <mergeCell ref="L52:O52"/>
    <mergeCell ref="B53:C53"/>
    <mergeCell ref="E53:F53"/>
    <mergeCell ref="L53:O53"/>
    <mergeCell ref="B54:C54"/>
    <mergeCell ref="E54:F54"/>
    <mergeCell ref="L54:O54"/>
    <mergeCell ref="B55:C55"/>
    <mergeCell ref="E55:F55"/>
    <mergeCell ref="L55:O55"/>
    <mergeCell ref="B56:C56"/>
    <mergeCell ref="E56:F56"/>
    <mergeCell ref="L56:O56"/>
    <mergeCell ref="B57:C57"/>
    <mergeCell ref="E57:F57"/>
    <mergeCell ref="L57:O57"/>
    <mergeCell ref="B58:C58"/>
    <mergeCell ref="E58:F58"/>
    <mergeCell ref="L58:O58"/>
    <mergeCell ref="B59:C59"/>
    <mergeCell ref="E59:F59"/>
    <mergeCell ref="L59:O59"/>
    <mergeCell ref="B60:C60"/>
    <mergeCell ref="E60:F60"/>
    <mergeCell ref="L60:O60"/>
    <mergeCell ref="B61:C61"/>
    <mergeCell ref="E61:F61"/>
    <mergeCell ref="L61:O61"/>
    <mergeCell ref="B62:C62"/>
    <mergeCell ref="E62:F62"/>
    <mergeCell ref="L62:O62"/>
    <mergeCell ref="B63:C63"/>
    <mergeCell ref="E63:F63"/>
    <mergeCell ref="L63:O63"/>
    <mergeCell ref="B64:C64"/>
    <mergeCell ref="E64:F64"/>
    <mergeCell ref="L64:O64"/>
    <mergeCell ref="B65:C65"/>
    <mergeCell ref="E65:F65"/>
    <mergeCell ref="L65:O65"/>
    <mergeCell ref="B66:C66"/>
    <mergeCell ref="E66:F66"/>
    <mergeCell ref="L66:O66"/>
    <mergeCell ref="B67:C67"/>
    <mergeCell ref="E67:F67"/>
    <mergeCell ref="L67:O67"/>
    <mergeCell ref="B68:C68"/>
    <mergeCell ref="E68:F68"/>
    <mergeCell ref="L68:O68"/>
    <mergeCell ref="B69:C69"/>
    <mergeCell ref="E69:F69"/>
    <mergeCell ref="L69:O69"/>
    <mergeCell ref="B70:C70"/>
    <mergeCell ref="E70:F70"/>
    <mergeCell ref="L70:O70"/>
    <mergeCell ref="B71:C71"/>
    <mergeCell ref="E71:F71"/>
    <mergeCell ref="L71:O71"/>
    <mergeCell ref="B72:C72"/>
    <mergeCell ref="E72:F72"/>
    <mergeCell ref="L72:O72"/>
    <mergeCell ref="B73:C73"/>
    <mergeCell ref="E73:F73"/>
    <mergeCell ref="L73:O73"/>
    <mergeCell ref="B74:C74"/>
    <mergeCell ref="E74:F74"/>
    <mergeCell ref="L74:O74"/>
    <mergeCell ref="B75:C75"/>
    <mergeCell ref="E75:F75"/>
    <mergeCell ref="L75:O75"/>
    <mergeCell ref="B76:C76"/>
    <mergeCell ref="E76:F76"/>
    <mergeCell ref="L76:O76"/>
    <mergeCell ref="B77:C77"/>
    <mergeCell ref="E77:F77"/>
    <mergeCell ref="L77:O77"/>
    <mergeCell ref="B78:C78"/>
    <mergeCell ref="E78:F78"/>
    <mergeCell ref="L78:O78"/>
    <mergeCell ref="B79:C79"/>
    <mergeCell ref="E79:F79"/>
    <mergeCell ref="L79:O79"/>
    <mergeCell ref="B80:C80"/>
    <mergeCell ref="E80:F80"/>
    <mergeCell ref="L80:O80"/>
    <mergeCell ref="B81:C81"/>
    <mergeCell ref="E81:F81"/>
    <mergeCell ref="L81:O81"/>
    <mergeCell ref="B82:C82"/>
    <mergeCell ref="E82:F82"/>
    <mergeCell ref="L82:O82"/>
    <mergeCell ref="B83:C83"/>
    <mergeCell ref="E83:F83"/>
    <mergeCell ref="L83:O83"/>
    <mergeCell ref="B84:C84"/>
    <mergeCell ref="E84:F84"/>
    <mergeCell ref="L84:O84"/>
    <mergeCell ref="B85:C85"/>
    <mergeCell ref="E85:F85"/>
    <mergeCell ref="L85:O85"/>
    <mergeCell ref="B86:C86"/>
    <mergeCell ref="E86:F86"/>
    <mergeCell ref="L86:O86"/>
    <mergeCell ref="B87:C87"/>
    <mergeCell ref="E87:F87"/>
    <mergeCell ref="L87:O87"/>
    <mergeCell ref="B88:C88"/>
    <mergeCell ref="E88:F88"/>
    <mergeCell ref="L88:O88"/>
    <mergeCell ref="B89:C89"/>
    <mergeCell ref="E89:F89"/>
    <mergeCell ref="L89:O89"/>
    <mergeCell ref="B90:C90"/>
    <mergeCell ref="E90:F90"/>
    <mergeCell ref="L90:O90"/>
    <mergeCell ref="B91:C91"/>
    <mergeCell ref="E91:F91"/>
    <mergeCell ref="L91:O91"/>
    <mergeCell ref="B92:C92"/>
    <mergeCell ref="E92:F92"/>
    <mergeCell ref="L92:O92"/>
    <mergeCell ref="B93:C93"/>
    <mergeCell ref="E93:F93"/>
    <mergeCell ref="L93:O93"/>
    <mergeCell ref="B94:C94"/>
    <mergeCell ref="E94:F94"/>
    <mergeCell ref="L94:O94"/>
    <mergeCell ref="B95:C95"/>
    <mergeCell ref="E95:F95"/>
    <mergeCell ref="L95:O95"/>
    <mergeCell ref="B96:C96"/>
    <mergeCell ref="E96:F96"/>
    <mergeCell ref="L96:O96"/>
    <mergeCell ref="B97:C97"/>
    <mergeCell ref="E97:F97"/>
    <mergeCell ref="L97:O97"/>
    <mergeCell ref="B98:C98"/>
    <mergeCell ref="E98:F98"/>
    <mergeCell ref="L98:O98"/>
    <mergeCell ref="B99:C99"/>
    <mergeCell ref="E99:F99"/>
    <mergeCell ref="L99:O99"/>
    <mergeCell ref="B100:C100"/>
    <mergeCell ref="E100:F100"/>
    <mergeCell ref="L100:O100"/>
    <mergeCell ref="B101:C101"/>
    <mergeCell ref="E101:F101"/>
    <mergeCell ref="L101:O101"/>
    <mergeCell ref="B102:C102"/>
    <mergeCell ref="E102:F102"/>
    <mergeCell ref="L102:O102"/>
    <mergeCell ref="B103:C103"/>
    <mergeCell ref="E103:F103"/>
    <mergeCell ref="L103:O103"/>
    <mergeCell ref="B104:C104"/>
    <mergeCell ref="E104:F104"/>
    <mergeCell ref="L104:O104"/>
    <mergeCell ref="B105:C105"/>
    <mergeCell ref="E105:F105"/>
    <mergeCell ref="L105:O105"/>
    <mergeCell ref="B106:C106"/>
    <mergeCell ref="E106:F106"/>
    <mergeCell ref="L106:O106"/>
    <mergeCell ref="B107:C107"/>
    <mergeCell ref="E107:F107"/>
    <mergeCell ref="L107:O107"/>
    <mergeCell ref="B108:C108"/>
    <mergeCell ref="E108:F108"/>
    <mergeCell ref="L108:O108"/>
    <mergeCell ref="B109:C109"/>
    <mergeCell ref="E109:F109"/>
    <mergeCell ref="L109:O109"/>
    <mergeCell ref="B110:C110"/>
    <mergeCell ref="E110:F110"/>
    <mergeCell ref="L110:O110"/>
    <mergeCell ref="B111:C111"/>
    <mergeCell ref="E111:F111"/>
    <mergeCell ref="L111:O111"/>
    <mergeCell ref="B112:C112"/>
    <mergeCell ref="E112:F112"/>
    <mergeCell ref="L112:O112"/>
    <mergeCell ref="B113:C113"/>
    <mergeCell ref="E113:F113"/>
    <mergeCell ref="L113:O113"/>
    <mergeCell ref="B114:C114"/>
    <mergeCell ref="E114:F114"/>
    <mergeCell ref="L114:O114"/>
    <mergeCell ref="B115:C115"/>
    <mergeCell ref="E115:F115"/>
    <mergeCell ref="L115:O115"/>
    <mergeCell ref="B116:C116"/>
    <mergeCell ref="E116:F116"/>
    <mergeCell ref="L116:O116"/>
    <mergeCell ref="B117:C117"/>
    <mergeCell ref="E117:F117"/>
    <mergeCell ref="L117:O117"/>
    <mergeCell ref="B118:C118"/>
    <mergeCell ref="E118:F118"/>
    <mergeCell ref="L118:O118"/>
    <mergeCell ref="B119:C119"/>
    <mergeCell ref="E119:F119"/>
    <mergeCell ref="L119:O119"/>
    <mergeCell ref="B120:C120"/>
    <mergeCell ref="E120:F120"/>
    <mergeCell ref="L120:O120"/>
    <mergeCell ref="B121:C121"/>
    <mergeCell ref="E121:F121"/>
    <mergeCell ref="L121:O121"/>
    <mergeCell ref="B122:C122"/>
    <mergeCell ref="E122:F122"/>
    <mergeCell ref="L122:O122"/>
    <mergeCell ref="B123:C123"/>
    <mergeCell ref="E123:F123"/>
    <mergeCell ref="L123:O123"/>
    <mergeCell ref="B124:C124"/>
    <mergeCell ref="E124:F124"/>
    <mergeCell ref="L124:O124"/>
    <mergeCell ref="B125:C125"/>
    <mergeCell ref="E125:F125"/>
    <mergeCell ref="L125:O125"/>
    <mergeCell ref="B126:C126"/>
    <mergeCell ref="E126:F126"/>
    <mergeCell ref="L126:O126"/>
    <mergeCell ref="B127:C127"/>
    <mergeCell ref="E127:F127"/>
    <mergeCell ref="L127:O127"/>
    <mergeCell ref="B128:C128"/>
    <mergeCell ref="E128:F128"/>
    <mergeCell ref="L128:O128"/>
    <mergeCell ref="B129:C129"/>
    <mergeCell ref="E129:F129"/>
    <mergeCell ref="L129:O129"/>
    <mergeCell ref="B130:C130"/>
    <mergeCell ref="E130:F130"/>
    <mergeCell ref="L130:O130"/>
    <mergeCell ref="B131:C131"/>
    <mergeCell ref="E131:F131"/>
    <mergeCell ref="L131:O131"/>
    <mergeCell ref="B132:C132"/>
    <mergeCell ref="E132:F132"/>
    <mergeCell ref="L132:O132"/>
    <mergeCell ref="B133:C133"/>
    <mergeCell ref="E133:F133"/>
    <mergeCell ref="L133:O133"/>
    <mergeCell ref="B134:C134"/>
    <mergeCell ref="E134:F134"/>
    <mergeCell ref="L134:O134"/>
    <mergeCell ref="B135:C135"/>
    <mergeCell ref="E135:F135"/>
    <mergeCell ref="L135:O135"/>
    <mergeCell ref="B136:C136"/>
    <mergeCell ref="E136:F136"/>
    <mergeCell ref="L136:O136"/>
    <mergeCell ref="B137:C137"/>
    <mergeCell ref="E137:F137"/>
    <mergeCell ref="L137:O137"/>
    <mergeCell ref="B138:C138"/>
    <mergeCell ref="E138:F138"/>
    <mergeCell ref="L138:O138"/>
    <mergeCell ref="B139:C139"/>
    <mergeCell ref="E139:F139"/>
    <mergeCell ref="L139:O139"/>
    <mergeCell ref="B140:C140"/>
    <mergeCell ref="E140:F140"/>
    <mergeCell ref="L140:O140"/>
    <mergeCell ref="B141:C141"/>
    <mergeCell ref="E141:F141"/>
    <mergeCell ref="L141:O141"/>
    <mergeCell ref="B142:C142"/>
    <mergeCell ref="E142:F142"/>
    <mergeCell ref="L142:O142"/>
    <mergeCell ref="B143:C143"/>
    <mergeCell ref="E143:F143"/>
    <mergeCell ref="L143:O143"/>
    <mergeCell ref="B144:C144"/>
    <mergeCell ref="E144:F144"/>
    <mergeCell ref="L144:O144"/>
    <mergeCell ref="B145:C145"/>
    <mergeCell ref="E145:F145"/>
    <mergeCell ref="L145:O145"/>
    <mergeCell ref="B146:C146"/>
    <mergeCell ref="E146:F146"/>
    <mergeCell ref="L146:O146"/>
    <mergeCell ref="B147:C147"/>
    <mergeCell ref="E147:F147"/>
    <mergeCell ref="L147:O147"/>
    <mergeCell ref="B148:C148"/>
    <mergeCell ref="E148:F148"/>
    <mergeCell ref="L148:O148"/>
    <mergeCell ref="B149:C149"/>
    <mergeCell ref="E149:F149"/>
    <mergeCell ref="L149:O149"/>
    <mergeCell ref="B150:C150"/>
    <mergeCell ref="E150:F150"/>
    <mergeCell ref="L150:O150"/>
    <mergeCell ref="B151:C151"/>
    <mergeCell ref="E151:F151"/>
    <mergeCell ref="L151:O151"/>
    <mergeCell ref="B152:C152"/>
    <mergeCell ref="E152:F152"/>
    <mergeCell ref="L152:O152"/>
    <mergeCell ref="B153:C153"/>
    <mergeCell ref="E153:F153"/>
    <mergeCell ref="L153:O153"/>
    <mergeCell ref="B154:C154"/>
    <mergeCell ref="E154:F154"/>
    <mergeCell ref="L154:O154"/>
    <mergeCell ref="B155:C155"/>
    <mergeCell ref="E155:F155"/>
    <mergeCell ref="L155:O155"/>
    <mergeCell ref="B156:C156"/>
    <mergeCell ref="E156:F156"/>
    <mergeCell ref="L156:O156"/>
    <mergeCell ref="B157:C157"/>
    <mergeCell ref="E157:F157"/>
    <mergeCell ref="L157:O157"/>
    <mergeCell ref="B158:C158"/>
    <mergeCell ref="E158:F158"/>
    <mergeCell ref="L158:O158"/>
    <mergeCell ref="B159:C159"/>
    <mergeCell ref="E159:F159"/>
    <mergeCell ref="L159:O159"/>
    <mergeCell ref="B160:C160"/>
    <mergeCell ref="E160:F160"/>
    <mergeCell ref="L160:O160"/>
    <mergeCell ref="B161:C161"/>
    <mergeCell ref="E161:F161"/>
    <mergeCell ref="L161:O161"/>
    <mergeCell ref="B162:C162"/>
    <mergeCell ref="E162:F162"/>
    <mergeCell ref="L162:O162"/>
    <mergeCell ref="B163:C163"/>
    <mergeCell ref="E163:F163"/>
    <mergeCell ref="L163:O163"/>
    <mergeCell ref="B164:C164"/>
    <mergeCell ref="E164:F164"/>
    <mergeCell ref="L164:O164"/>
    <mergeCell ref="B165:C165"/>
    <mergeCell ref="E165:F165"/>
    <mergeCell ref="L165:O165"/>
    <mergeCell ref="B166:C166"/>
    <mergeCell ref="E166:F166"/>
    <mergeCell ref="L166:O166"/>
    <mergeCell ref="B167:C167"/>
    <mergeCell ref="E167:F167"/>
    <mergeCell ref="L167:O167"/>
    <mergeCell ref="B168:C168"/>
    <mergeCell ref="E168:F168"/>
    <mergeCell ref="L168:O168"/>
    <mergeCell ref="B169:C169"/>
    <mergeCell ref="E169:F169"/>
    <mergeCell ref="L169:O169"/>
    <mergeCell ref="B170:C170"/>
    <mergeCell ref="E170:F170"/>
    <mergeCell ref="L170:O170"/>
    <mergeCell ref="B171:C171"/>
    <mergeCell ref="E171:F171"/>
    <mergeCell ref="L171:O171"/>
    <mergeCell ref="B172:C172"/>
    <mergeCell ref="E172:F172"/>
    <mergeCell ref="L172:O172"/>
    <mergeCell ref="B173:C173"/>
    <mergeCell ref="E173:F173"/>
    <mergeCell ref="L173:O173"/>
    <mergeCell ref="B174:C174"/>
    <mergeCell ref="E174:F174"/>
    <mergeCell ref="L174:O174"/>
    <mergeCell ref="B175:C175"/>
    <mergeCell ref="E175:F175"/>
    <mergeCell ref="L175:O175"/>
    <mergeCell ref="B176:C176"/>
    <mergeCell ref="E176:F176"/>
    <mergeCell ref="L176:O176"/>
    <mergeCell ref="B177:C177"/>
    <mergeCell ref="E177:F177"/>
    <mergeCell ref="L177:O177"/>
    <mergeCell ref="B178:C178"/>
    <mergeCell ref="E178:F178"/>
    <mergeCell ref="L178:O178"/>
    <mergeCell ref="B179:C179"/>
    <mergeCell ref="E179:F179"/>
    <mergeCell ref="L179:O179"/>
    <mergeCell ref="B180:C180"/>
    <mergeCell ref="E180:F180"/>
    <mergeCell ref="L180:O180"/>
    <mergeCell ref="B181:C181"/>
    <mergeCell ref="E181:F181"/>
    <mergeCell ref="L181:O181"/>
    <mergeCell ref="B182:C182"/>
    <mergeCell ref="E182:F182"/>
    <mergeCell ref="L182:O182"/>
    <mergeCell ref="B183:C183"/>
    <mergeCell ref="E183:F183"/>
    <mergeCell ref="L183:O183"/>
    <mergeCell ref="B184:C184"/>
    <mergeCell ref="E184:F184"/>
    <mergeCell ref="L184:O184"/>
    <mergeCell ref="B185:C185"/>
    <mergeCell ref="E185:F185"/>
    <mergeCell ref="L185:O185"/>
    <mergeCell ref="B186:C186"/>
    <mergeCell ref="E186:F186"/>
    <mergeCell ref="L186:O186"/>
    <mergeCell ref="B187:C187"/>
    <mergeCell ref="E187:F187"/>
    <mergeCell ref="L187:O187"/>
    <mergeCell ref="B188:C188"/>
    <mergeCell ref="E188:F188"/>
    <mergeCell ref="L188:O188"/>
    <mergeCell ref="B189:C189"/>
    <mergeCell ref="E189:F189"/>
    <mergeCell ref="L189:O189"/>
    <mergeCell ref="B190:C190"/>
    <mergeCell ref="E190:F190"/>
    <mergeCell ref="L190:O190"/>
    <mergeCell ref="B191:C191"/>
    <mergeCell ref="E191:F191"/>
    <mergeCell ref="L191:O191"/>
    <mergeCell ref="B192:C192"/>
    <mergeCell ref="E192:F192"/>
    <mergeCell ref="L192:O192"/>
    <mergeCell ref="B193:C193"/>
    <mergeCell ref="E193:F193"/>
    <mergeCell ref="L193:O193"/>
    <mergeCell ref="B194:C194"/>
    <mergeCell ref="E194:F194"/>
    <mergeCell ref="L194:O194"/>
    <mergeCell ref="B195:C195"/>
    <mergeCell ref="E195:F195"/>
    <mergeCell ref="L195:O195"/>
    <mergeCell ref="B196:C196"/>
    <mergeCell ref="E196:F196"/>
    <mergeCell ref="L196:O196"/>
    <mergeCell ref="B197:C197"/>
    <mergeCell ref="E197:F197"/>
    <mergeCell ref="L197:O197"/>
    <mergeCell ref="B198:C198"/>
    <mergeCell ref="E198:F198"/>
    <mergeCell ref="L198:O198"/>
    <mergeCell ref="B199:C199"/>
    <mergeCell ref="E199:F199"/>
    <mergeCell ref="L199:O199"/>
    <mergeCell ref="B200:C200"/>
    <mergeCell ref="E200:F200"/>
    <mergeCell ref="L200:O200"/>
    <mergeCell ref="B201:C201"/>
    <mergeCell ref="E201:F201"/>
    <mergeCell ref="L201:O201"/>
    <mergeCell ref="B202:C202"/>
    <mergeCell ref="E202:F202"/>
    <mergeCell ref="L202:O202"/>
    <mergeCell ref="B203:C203"/>
    <mergeCell ref="E203:F203"/>
    <mergeCell ref="L203:O203"/>
    <mergeCell ref="B204:C204"/>
    <mergeCell ref="E204:F204"/>
    <mergeCell ref="L204:O204"/>
    <mergeCell ref="B205:C205"/>
    <mergeCell ref="E205:F205"/>
    <mergeCell ref="L205:O205"/>
    <mergeCell ref="B206:C206"/>
    <mergeCell ref="E206:F206"/>
    <mergeCell ref="L206:O206"/>
    <mergeCell ref="B207:C207"/>
    <mergeCell ref="E207:F207"/>
    <mergeCell ref="L207:O207"/>
    <mergeCell ref="B208:C208"/>
    <mergeCell ref="E208:F208"/>
    <mergeCell ref="L208:O208"/>
    <mergeCell ref="B209:C209"/>
    <mergeCell ref="E209:F209"/>
    <mergeCell ref="L209:O209"/>
    <mergeCell ref="B210:C210"/>
    <mergeCell ref="E210:F210"/>
    <mergeCell ref="L210:O210"/>
    <mergeCell ref="B211:C211"/>
    <mergeCell ref="E211:F211"/>
    <mergeCell ref="L211:O211"/>
    <mergeCell ref="B212:C212"/>
    <mergeCell ref="E212:F212"/>
    <mergeCell ref="L212:O212"/>
    <mergeCell ref="B213:C213"/>
    <mergeCell ref="E213:F213"/>
    <mergeCell ref="L213:O213"/>
    <mergeCell ref="B214:C214"/>
    <mergeCell ref="E214:F214"/>
    <mergeCell ref="L214:O214"/>
    <mergeCell ref="B215:C215"/>
    <mergeCell ref="E215:F215"/>
    <mergeCell ref="L215:O215"/>
    <mergeCell ref="B216:C216"/>
    <mergeCell ref="E216:F216"/>
    <mergeCell ref="L216:O216"/>
    <mergeCell ref="B217:C217"/>
    <mergeCell ref="E217:F217"/>
    <mergeCell ref="L217:O217"/>
    <mergeCell ref="B218:C218"/>
    <mergeCell ref="E218:F218"/>
    <mergeCell ref="L218:O218"/>
    <mergeCell ref="B219:C219"/>
    <mergeCell ref="E219:F219"/>
    <mergeCell ref="L219:O219"/>
    <mergeCell ref="B220:C220"/>
    <mergeCell ref="E220:F220"/>
    <mergeCell ref="L220:O220"/>
    <mergeCell ref="B221:C221"/>
    <mergeCell ref="E221:F221"/>
    <mergeCell ref="L221:O221"/>
    <mergeCell ref="B222:C222"/>
    <mergeCell ref="E222:F222"/>
    <mergeCell ref="L222:O222"/>
    <mergeCell ref="B223:C223"/>
    <mergeCell ref="E223:F223"/>
    <mergeCell ref="L223:O223"/>
    <mergeCell ref="B224:C224"/>
    <mergeCell ref="E224:F224"/>
    <mergeCell ref="L224:O224"/>
    <mergeCell ref="B225:C225"/>
    <mergeCell ref="E225:F225"/>
    <mergeCell ref="L225:O225"/>
    <mergeCell ref="B226:C226"/>
    <mergeCell ref="E226:F226"/>
    <mergeCell ref="L226:O226"/>
    <mergeCell ref="B227:C227"/>
    <mergeCell ref="E227:F227"/>
    <mergeCell ref="L227:O227"/>
    <mergeCell ref="B228:C228"/>
    <mergeCell ref="E228:F228"/>
    <mergeCell ref="L228:O228"/>
    <mergeCell ref="B229:C229"/>
    <mergeCell ref="E229:F229"/>
    <mergeCell ref="L229:O229"/>
    <mergeCell ref="B230:C230"/>
    <mergeCell ref="E230:F230"/>
    <mergeCell ref="L230:O230"/>
    <mergeCell ref="B231:C231"/>
    <mergeCell ref="E231:F231"/>
    <mergeCell ref="L231:O231"/>
    <mergeCell ref="B232:C232"/>
    <mergeCell ref="E232:F232"/>
    <mergeCell ref="L232:O232"/>
    <mergeCell ref="B233:C233"/>
    <mergeCell ref="E233:F233"/>
    <mergeCell ref="L233:O233"/>
    <mergeCell ref="B234:C234"/>
    <mergeCell ref="E234:F234"/>
    <mergeCell ref="L234:O234"/>
    <mergeCell ref="B235:C235"/>
    <mergeCell ref="E235:F235"/>
    <mergeCell ref="L235:O235"/>
    <mergeCell ref="B236:C236"/>
    <mergeCell ref="E236:F236"/>
    <mergeCell ref="L236:O236"/>
    <mergeCell ref="B237:C237"/>
    <mergeCell ref="E237:F237"/>
    <mergeCell ref="L237:O237"/>
    <mergeCell ref="B238:C238"/>
    <mergeCell ref="E238:F238"/>
    <mergeCell ref="L238:O238"/>
    <mergeCell ref="B239:C239"/>
    <mergeCell ref="E239:F239"/>
    <mergeCell ref="L239:O239"/>
    <mergeCell ref="B240:C240"/>
    <mergeCell ref="E240:F240"/>
    <mergeCell ref="L240:O240"/>
    <mergeCell ref="B241:C241"/>
    <mergeCell ref="E241:F241"/>
    <mergeCell ref="L241:O241"/>
    <mergeCell ref="B242:C242"/>
    <mergeCell ref="E242:F242"/>
    <mergeCell ref="L242:O242"/>
    <mergeCell ref="B243:C243"/>
    <mergeCell ref="E243:F243"/>
    <mergeCell ref="L243:O243"/>
    <mergeCell ref="B244:C244"/>
    <mergeCell ref="E244:F244"/>
    <mergeCell ref="L244:O244"/>
    <mergeCell ref="B245:C245"/>
    <mergeCell ref="E245:F245"/>
    <mergeCell ref="L245:O245"/>
    <mergeCell ref="B246:C246"/>
    <mergeCell ref="E246:F246"/>
    <mergeCell ref="L246:O246"/>
    <mergeCell ref="B247:C247"/>
    <mergeCell ref="E247:F247"/>
    <mergeCell ref="L247:O247"/>
    <mergeCell ref="B248:C248"/>
    <mergeCell ref="E248:F248"/>
    <mergeCell ref="L248:O248"/>
    <mergeCell ref="B249:C249"/>
    <mergeCell ref="E249:F249"/>
    <mergeCell ref="L249:O249"/>
    <mergeCell ref="B250:C250"/>
    <mergeCell ref="E250:F250"/>
    <mergeCell ref="L250:O250"/>
    <mergeCell ref="B251:C251"/>
    <mergeCell ref="E251:F251"/>
    <mergeCell ref="L251:O251"/>
    <mergeCell ref="B252:C252"/>
    <mergeCell ref="E252:F252"/>
    <mergeCell ref="L252:O252"/>
    <mergeCell ref="B253:C253"/>
    <mergeCell ref="E253:F253"/>
    <mergeCell ref="L253:O253"/>
    <mergeCell ref="B254:C254"/>
    <mergeCell ref="E254:F254"/>
    <mergeCell ref="L254:O254"/>
    <mergeCell ref="B255:C255"/>
    <mergeCell ref="E255:F255"/>
    <mergeCell ref="L255:O255"/>
    <mergeCell ref="B256:C256"/>
    <mergeCell ref="E256:F256"/>
    <mergeCell ref="L256:O256"/>
    <mergeCell ref="B257:C257"/>
    <mergeCell ref="E257:F257"/>
    <mergeCell ref="L257:O257"/>
    <mergeCell ref="B258:C258"/>
    <mergeCell ref="E258:F258"/>
    <mergeCell ref="L258:O258"/>
    <mergeCell ref="B259:C259"/>
    <mergeCell ref="E259:F259"/>
    <mergeCell ref="L259:O259"/>
    <mergeCell ref="B260:C260"/>
    <mergeCell ref="E260:F260"/>
    <mergeCell ref="L260:O260"/>
    <mergeCell ref="B261:C261"/>
    <mergeCell ref="E261:F261"/>
    <mergeCell ref="L261:O261"/>
    <mergeCell ref="B262:C262"/>
    <mergeCell ref="E262:F262"/>
    <mergeCell ref="L262:O262"/>
    <mergeCell ref="B263:C263"/>
    <mergeCell ref="E263:F263"/>
    <mergeCell ref="L263:O263"/>
    <mergeCell ref="B264:C264"/>
    <mergeCell ref="E264:F264"/>
    <mergeCell ref="L264:O264"/>
    <mergeCell ref="B265:C265"/>
    <mergeCell ref="E265:F265"/>
    <mergeCell ref="L265:O265"/>
    <mergeCell ref="B266:C266"/>
    <mergeCell ref="E266:F266"/>
    <mergeCell ref="L266:O266"/>
    <mergeCell ref="B267:C267"/>
    <mergeCell ref="E267:F267"/>
    <mergeCell ref="L267:O267"/>
    <mergeCell ref="B268:C268"/>
    <mergeCell ref="E268:F268"/>
    <mergeCell ref="L268:O268"/>
    <mergeCell ref="B269:C269"/>
    <mergeCell ref="E269:F269"/>
    <mergeCell ref="L269:O269"/>
    <mergeCell ref="B270:C270"/>
    <mergeCell ref="E270:F270"/>
    <mergeCell ref="L270:O270"/>
    <mergeCell ref="B271:C271"/>
    <mergeCell ref="E271:F271"/>
    <mergeCell ref="L271:O271"/>
    <mergeCell ref="B272:C272"/>
    <mergeCell ref="E272:F272"/>
    <mergeCell ref="L272:O272"/>
    <mergeCell ref="B273:C273"/>
    <mergeCell ref="E273:F273"/>
    <mergeCell ref="L273:O273"/>
    <mergeCell ref="B274:C274"/>
    <mergeCell ref="E274:F274"/>
    <mergeCell ref="L274:O274"/>
    <mergeCell ref="B275:C275"/>
    <mergeCell ref="E275:F275"/>
    <mergeCell ref="L275:O275"/>
    <mergeCell ref="B276:C276"/>
    <mergeCell ref="E276:F276"/>
    <mergeCell ref="L276:O276"/>
    <mergeCell ref="B277:C277"/>
    <mergeCell ref="E277:F277"/>
    <mergeCell ref="L277:O277"/>
    <mergeCell ref="B278:C278"/>
    <mergeCell ref="E278:F278"/>
    <mergeCell ref="L278:O278"/>
    <mergeCell ref="B279:C279"/>
    <mergeCell ref="E279:F279"/>
    <mergeCell ref="L279:O279"/>
    <mergeCell ref="B280:C280"/>
    <mergeCell ref="E280:F280"/>
    <mergeCell ref="L280:O280"/>
    <mergeCell ref="B281:C281"/>
    <mergeCell ref="E281:F281"/>
    <mergeCell ref="L281:O281"/>
    <mergeCell ref="B282:C282"/>
    <mergeCell ref="E282:F282"/>
    <mergeCell ref="L282:O282"/>
    <mergeCell ref="B283:C283"/>
    <mergeCell ref="E283:F283"/>
    <mergeCell ref="L283:O283"/>
    <mergeCell ref="B284:C284"/>
    <mergeCell ref="E284:F284"/>
    <mergeCell ref="L284:O284"/>
    <mergeCell ref="B285:C285"/>
    <mergeCell ref="E285:F285"/>
    <mergeCell ref="L285:O285"/>
    <mergeCell ref="B286:C286"/>
    <mergeCell ref="E286:F286"/>
    <mergeCell ref="L286:O286"/>
    <mergeCell ref="B287:C287"/>
    <mergeCell ref="E287:F287"/>
    <mergeCell ref="L287:O287"/>
    <mergeCell ref="B288:C288"/>
    <mergeCell ref="E288:F288"/>
    <mergeCell ref="L288:O288"/>
    <mergeCell ref="B289:C289"/>
    <mergeCell ref="E289:F289"/>
    <mergeCell ref="L289:O289"/>
    <mergeCell ref="B290:C290"/>
    <mergeCell ref="E290:F290"/>
    <mergeCell ref="L290:O290"/>
    <mergeCell ref="B291:C291"/>
    <mergeCell ref="E291:F291"/>
    <mergeCell ref="L291:O291"/>
    <mergeCell ref="B292:C292"/>
    <mergeCell ref="E292:F292"/>
    <mergeCell ref="L292:O292"/>
    <mergeCell ref="B293:C293"/>
    <mergeCell ref="E293:F293"/>
    <mergeCell ref="L293:O293"/>
    <mergeCell ref="B294:C294"/>
    <mergeCell ref="E294:F294"/>
    <mergeCell ref="L294:O294"/>
    <mergeCell ref="B295:C295"/>
    <mergeCell ref="E295:F295"/>
    <mergeCell ref="L295:O295"/>
    <mergeCell ref="B296:C296"/>
    <mergeCell ref="E296:F296"/>
    <mergeCell ref="L296:O296"/>
    <mergeCell ref="B297:C297"/>
    <mergeCell ref="E297:F297"/>
    <mergeCell ref="L297:O297"/>
    <mergeCell ref="B298:C298"/>
    <mergeCell ref="E298:F298"/>
    <mergeCell ref="L298:O298"/>
    <mergeCell ref="B299:C299"/>
    <mergeCell ref="E299:F299"/>
    <mergeCell ref="L299:O299"/>
    <mergeCell ref="B300:C300"/>
    <mergeCell ref="E300:F300"/>
    <mergeCell ref="L300:O300"/>
    <mergeCell ref="B301:C301"/>
    <mergeCell ref="E301:F301"/>
    <mergeCell ref="L301:O301"/>
    <mergeCell ref="B302:C302"/>
    <mergeCell ref="E302:F302"/>
    <mergeCell ref="L302:O302"/>
    <mergeCell ref="B303:C303"/>
    <mergeCell ref="E303:F303"/>
    <mergeCell ref="L303:O303"/>
    <mergeCell ref="B304:C304"/>
    <mergeCell ref="E304:F304"/>
    <mergeCell ref="L304:O304"/>
    <mergeCell ref="B305:C305"/>
    <mergeCell ref="E305:F305"/>
    <mergeCell ref="L305:O305"/>
    <mergeCell ref="B306:C306"/>
    <mergeCell ref="E306:F306"/>
    <mergeCell ref="L306:O306"/>
    <mergeCell ref="B307:C307"/>
    <mergeCell ref="E307:F307"/>
    <mergeCell ref="L307:O307"/>
    <mergeCell ref="B308:C308"/>
    <mergeCell ref="E308:F308"/>
    <mergeCell ref="L308:O308"/>
    <mergeCell ref="B309:C309"/>
    <mergeCell ref="E309:F309"/>
    <mergeCell ref="L309:O309"/>
    <mergeCell ref="B310:C310"/>
    <mergeCell ref="E310:F310"/>
    <mergeCell ref="L310:O310"/>
    <mergeCell ref="B311:C311"/>
    <mergeCell ref="E311:F311"/>
    <mergeCell ref="L311:O311"/>
    <mergeCell ref="B312:C312"/>
    <mergeCell ref="E312:F312"/>
    <mergeCell ref="L312:O312"/>
    <mergeCell ref="B313:C313"/>
    <mergeCell ref="E313:F313"/>
    <mergeCell ref="L313:O313"/>
    <mergeCell ref="B314:C314"/>
    <mergeCell ref="E314:F314"/>
    <mergeCell ref="L314:O314"/>
    <mergeCell ref="B315:C315"/>
    <mergeCell ref="E315:F315"/>
    <mergeCell ref="L315:O315"/>
    <mergeCell ref="B316:C316"/>
    <mergeCell ref="E316:F316"/>
    <mergeCell ref="L316:O316"/>
    <mergeCell ref="B317:C317"/>
    <mergeCell ref="E317:F317"/>
    <mergeCell ref="L317:O317"/>
    <mergeCell ref="B318:C318"/>
    <mergeCell ref="E318:F318"/>
    <mergeCell ref="L318:O318"/>
    <mergeCell ref="B319:C319"/>
    <mergeCell ref="E319:F319"/>
    <mergeCell ref="L319:O319"/>
    <mergeCell ref="B320:C320"/>
    <mergeCell ref="E320:F320"/>
    <mergeCell ref="L320:O320"/>
    <mergeCell ref="B321:C321"/>
    <mergeCell ref="E321:F321"/>
    <mergeCell ref="L321:O321"/>
    <mergeCell ref="B322:C322"/>
    <mergeCell ref="E322:F322"/>
    <mergeCell ref="L322:O322"/>
    <mergeCell ref="B323:C323"/>
    <mergeCell ref="E323:F323"/>
    <mergeCell ref="L323:O323"/>
    <mergeCell ref="B324:C324"/>
    <mergeCell ref="E324:F324"/>
    <mergeCell ref="L324:O324"/>
    <mergeCell ref="B325:C325"/>
    <mergeCell ref="E325:F325"/>
    <mergeCell ref="L325:O325"/>
    <mergeCell ref="B326:C326"/>
    <mergeCell ref="E326:F326"/>
    <mergeCell ref="L326:O326"/>
    <mergeCell ref="B327:C327"/>
    <mergeCell ref="E327:F327"/>
    <mergeCell ref="L327:O327"/>
    <mergeCell ref="B328:C328"/>
    <mergeCell ref="E328:F328"/>
    <mergeCell ref="L328:O328"/>
    <mergeCell ref="B329:C329"/>
    <mergeCell ref="E329:F329"/>
    <mergeCell ref="L329:O329"/>
    <mergeCell ref="B330:C330"/>
    <mergeCell ref="E330:F330"/>
    <mergeCell ref="L330:O330"/>
    <mergeCell ref="B331:C331"/>
    <mergeCell ref="E331:F331"/>
    <mergeCell ref="L331:O331"/>
    <mergeCell ref="B332:C332"/>
    <mergeCell ref="E332:F332"/>
    <mergeCell ref="L332:O332"/>
    <mergeCell ref="B333:C333"/>
    <mergeCell ref="E333:F333"/>
    <mergeCell ref="L333:O333"/>
    <mergeCell ref="B334:C334"/>
    <mergeCell ref="E334:F334"/>
    <mergeCell ref="L334:O334"/>
    <mergeCell ref="B335:C335"/>
    <mergeCell ref="E335:F335"/>
    <mergeCell ref="L335:O335"/>
    <mergeCell ref="B336:C336"/>
    <mergeCell ref="E336:F336"/>
    <mergeCell ref="L336:O336"/>
    <mergeCell ref="B337:C337"/>
    <mergeCell ref="E337:F337"/>
    <mergeCell ref="L337:O337"/>
    <mergeCell ref="B338:C338"/>
    <mergeCell ref="E338:F338"/>
    <mergeCell ref="L338:O338"/>
    <mergeCell ref="B339:C339"/>
    <mergeCell ref="E339:F339"/>
    <mergeCell ref="L339:O339"/>
    <mergeCell ref="B340:C340"/>
    <mergeCell ref="E340:F340"/>
    <mergeCell ref="L340:O340"/>
    <mergeCell ref="B341:C341"/>
    <mergeCell ref="E341:F341"/>
    <mergeCell ref="L341:O341"/>
    <mergeCell ref="B342:C342"/>
    <mergeCell ref="E342:F342"/>
    <mergeCell ref="L342:O342"/>
    <mergeCell ref="B343:C343"/>
    <mergeCell ref="E343:F343"/>
    <mergeCell ref="L343:O343"/>
    <mergeCell ref="B344:C344"/>
    <mergeCell ref="E344:F344"/>
    <mergeCell ref="L344:O344"/>
    <mergeCell ref="B345:C345"/>
    <mergeCell ref="E345:F345"/>
    <mergeCell ref="L345:O345"/>
    <mergeCell ref="B346:C346"/>
    <mergeCell ref="E346:F346"/>
    <mergeCell ref="L346:O346"/>
    <mergeCell ref="B347:C347"/>
    <mergeCell ref="E347:F347"/>
    <mergeCell ref="L347:O347"/>
    <mergeCell ref="B348:C348"/>
    <mergeCell ref="E348:F348"/>
    <mergeCell ref="L348:O348"/>
    <mergeCell ref="B349:C349"/>
    <mergeCell ref="E349:F349"/>
    <mergeCell ref="L349:O349"/>
    <mergeCell ref="B350:C350"/>
    <mergeCell ref="E350:F350"/>
    <mergeCell ref="L350:O350"/>
    <mergeCell ref="B351:C351"/>
    <mergeCell ref="E351:F351"/>
    <mergeCell ref="L351:O351"/>
    <mergeCell ref="B352:C352"/>
    <mergeCell ref="E352:F352"/>
    <mergeCell ref="L352:O352"/>
    <mergeCell ref="B353:C353"/>
    <mergeCell ref="E353:F353"/>
    <mergeCell ref="L353:O353"/>
    <mergeCell ref="B354:C354"/>
    <mergeCell ref="E354:F354"/>
    <mergeCell ref="L354:O354"/>
    <mergeCell ref="B355:C355"/>
    <mergeCell ref="E355:F355"/>
    <mergeCell ref="L355:O355"/>
    <mergeCell ref="B356:C356"/>
    <mergeCell ref="E356:F356"/>
    <mergeCell ref="L356:O356"/>
    <mergeCell ref="B357:C357"/>
    <mergeCell ref="E357:F357"/>
    <mergeCell ref="L357:O357"/>
    <mergeCell ref="B358:C358"/>
    <mergeCell ref="E358:F358"/>
    <mergeCell ref="L358:O358"/>
    <mergeCell ref="B359:C359"/>
    <mergeCell ref="E359:F359"/>
    <mergeCell ref="L359:O359"/>
    <mergeCell ref="B360:C360"/>
    <mergeCell ref="E360:F360"/>
    <mergeCell ref="L360:O360"/>
    <mergeCell ref="B361:C361"/>
    <mergeCell ref="E361:F361"/>
    <mergeCell ref="L361:O361"/>
    <mergeCell ref="B362:C362"/>
    <mergeCell ref="E362:F362"/>
    <mergeCell ref="L362:O362"/>
    <mergeCell ref="B363:C363"/>
    <mergeCell ref="E363:F363"/>
    <mergeCell ref="L363:O363"/>
    <mergeCell ref="B364:C364"/>
    <mergeCell ref="E364:F364"/>
    <mergeCell ref="L364:O364"/>
    <mergeCell ref="B365:C365"/>
    <mergeCell ref="E365:F365"/>
    <mergeCell ref="L365:O365"/>
    <mergeCell ref="B366:C366"/>
    <mergeCell ref="E366:F366"/>
    <mergeCell ref="L366:O366"/>
    <mergeCell ref="B367:C367"/>
    <mergeCell ref="E367:F367"/>
    <mergeCell ref="L367:O367"/>
    <mergeCell ref="B368:C368"/>
    <mergeCell ref="E368:F368"/>
    <mergeCell ref="L368:O368"/>
    <mergeCell ref="B369:C369"/>
    <mergeCell ref="E369:F369"/>
    <mergeCell ref="L369:O369"/>
    <mergeCell ref="B370:C370"/>
    <mergeCell ref="E370:F370"/>
    <mergeCell ref="L370:O370"/>
    <mergeCell ref="B371:C371"/>
    <mergeCell ref="E371:F371"/>
    <mergeCell ref="L371:O371"/>
    <mergeCell ref="B372:C372"/>
    <mergeCell ref="E372:F372"/>
    <mergeCell ref="L372:O372"/>
    <mergeCell ref="B373:C373"/>
    <mergeCell ref="E373:F373"/>
    <mergeCell ref="L373:O373"/>
    <mergeCell ref="B374:C374"/>
    <mergeCell ref="E374:F374"/>
    <mergeCell ref="L374:O374"/>
    <mergeCell ref="B375:C375"/>
    <mergeCell ref="E375:F375"/>
    <mergeCell ref="L375:O375"/>
    <mergeCell ref="B376:C376"/>
    <mergeCell ref="E376:F376"/>
    <mergeCell ref="L376:O376"/>
    <mergeCell ref="B377:C377"/>
    <mergeCell ref="E377:F377"/>
    <mergeCell ref="L377:O377"/>
    <mergeCell ref="B378:C378"/>
    <mergeCell ref="E378:F378"/>
    <mergeCell ref="L378:O378"/>
    <mergeCell ref="B379:C379"/>
    <mergeCell ref="E379:F379"/>
    <mergeCell ref="L379:O379"/>
    <mergeCell ref="B380:C380"/>
    <mergeCell ref="E380:F380"/>
    <mergeCell ref="L380:O380"/>
    <mergeCell ref="B381:C381"/>
    <mergeCell ref="E381:F381"/>
    <mergeCell ref="L381:O381"/>
    <mergeCell ref="B382:C382"/>
    <mergeCell ref="E382:F382"/>
    <mergeCell ref="L382:O382"/>
    <mergeCell ref="B383:C383"/>
    <mergeCell ref="E383:F383"/>
    <mergeCell ref="L383:O383"/>
    <mergeCell ref="B384:C384"/>
    <mergeCell ref="E384:F384"/>
    <mergeCell ref="L384:O384"/>
    <mergeCell ref="B385:C385"/>
    <mergeCell ref="E385:F385"/>
    <mergeCell ref="L385:O385"/>
    <mergeCell ref="B386:C386"/>
    <mergeCell ref="E386:F386"/>
    <mergeCell ref="L386:O386"/>
    <mergeCell ref="B387:C387"/>
    <mergeCell ref="E387:F387"/>
    <mergeCell ref="L387:O387"/>
    <mergeCell ref="B388:C388"/>
    <mergeCell ref="E388:F388"/>
    <mergeCell ref="L388:O388"/>
    <mergeCell ref="B389:C389"/>
    <mergeCell ref="E389:F389"/>
    <mergeCell ref="L389:O389"/>
    <mergeCell ref="B390:C390"/>
    <mergeCell ref="E390:F390"/>
    <mergeCell ref="L390:O390"/>
    <mergeCell ref="B391:C391"/>
    <mergeCell ref="E391:F391"/>
    <mergeCell ref="L391:O391"/>
    <mergeCell ref="B392:C392"/>
    <mergeCell ref="E392:F392"/>
    <mergeCell ref="L392:O392"/>
    <mergeCell ref="B393:C393"/>
    <mergeCell ref="E393:F393"/>
    <mergeCell ref="L393:O393"/>
    <mergeCell ref="B394:C394"/>
    <mergeCell ref="E394:F394"/>
    <mergeCell ref="L394:O394"/>
    <mergeCell ref="B395:C395"/>
    <mergeCell ref="E395:F395"/>
    <mergeCell ref="L395:O395"/>
    <mergeCell ref="B396:C396"/>
    <mergeCell ref="E396:F396"/>
    <mergeCell ref="L396:O396"/>
    <mergeCell ref="B397:C397"/>
    <mergeCell ref="E397:F397"/>
    <mergeCell ref="L397:O397"/>
    <mergeCell ref="A398:B398"/>
    <mergeCell ref="C398:N398"/>
    <mergeCell ref="O398:P398"/>
    <mergeCell ref="A399:P399"/>
    <mergeCell ref="A400:B400"/>
    <mergeCell ref="C400:N400"/>
    <mergeCell ref="O400:P400"/>
    <mergeCell ref="A401:B401"/>
    <mergeCell ref="C401:N401"/>
    <mergeCell ref="O401:P401"/>
    <mergeCell ref="A402:E402"/>
    <mergeCell ref="F402:L402"/>
  </mergeCells>
  <printOptions gridLines="false" gridLinesSet="true" headings="false" horizontalCentered="false" verticalCentered="false"/>
  <pageMargins bottom="0.75" footer="0.511805555555555" header="0.511805555555555" left="0.7" right="0.7" top="0.75"/>
  <pageSetup blackAndWhite="false" cellComments="none" copies="1" draft="false" firstPageNumber="0" fitToHeight="1" fitToWidth="1" horizontalDpi="300" orientation="portrait" pageOrder="downThenOver" paperSize="1" scale="100" useFirstPageNumber="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2018-06-15T13:22:53Z</dcterms:created>
  <dc:creator>Monzon, Ivan</dc:creator>
  <dc:description>IBM Confidential
OCO Source Materials
5724-M19
(C) COPYRIGHT IBM CORP. 2006
The source code for this program is not published or otherwise
divested of its trade secrets, irrespective of what has been
deposited with the U.S. Copyright Office.
09-19764@000
AutoLayout@000
Hyperlinks@20180615_070143</dc:description>
  <dc:language>en-US</dc:language>
  <dcterms:modified xsi:type="dcterms:W3CDTF">2018-06-18T20:01:56Z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name="AppVersion" pid="2">
    <vt:lpwstr>16.0300</vt:lpwstr>
  </property>
  <property fmtid="{D5CDD505-2E9C-101B-9397-08002B2CF9AE}" name="DocSecurity" pid="3">
    <vt:i4>0</vt:i4>
  </property>
  <property fmtid="{D5CDD505-2E9C-101B-9397-08002B2CF9AE}" name="HyperlinksChanged" pid="4">
    <vt:bool>0</vt:bool>
  </property>
  <property fmtid="{D5CDD505-2E9C-101B-9397-08002B2CF9AE}" name="LinksUpToDate" pid="5">
    <vt:bool>0</vt:bool>
  </property>
  <property fmtid="{D5CDD505-2E9C-101B-9397-08002B2CF9AE}" name="ScaleCrop" pid="6">
    <vt:bool>0</vt:bool>
  </property>
  <property fmtid="{D5CDD505-2E9C-101B-9397-08002B2CF9AE}" name="ShareDoc" pid="7">
    <vt:bool>0</vt:bool>
  </property>
</Properties>
</file>