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0\Desktop\лабы\"/>
    </mc:Choice>
  </mc:AlternateContent>
  <xr:revisionPtr revIDLastSave="0" documentId="13_ncr:1_{3F5AEDC1-DE37-47E5-B4E5-524A9D578DF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3" sheetId="3" r:id="rId2"/>
    <sheet name="Лист4" sheetId="4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4" l="1"/>
  <c r="M2" i="4"/>
  <c r="M10" i="4"/>
  <c r="L2" i="4"/>
  <c r="K2" i="4"/>
  <c r="J2" i="4"/>
  <c r="I2" i="4"/>
  <c r="H2" i="4"/>
  <c r="G2" i="4"/>
  <c r="D3" i="4"/>
  <c r="D4" i="4"/>
  <c r="D2" i="4"/>
  <c r="C3" i="4"/>
  <c r="C4" i="4"/>
  <c r="C2" i="4"/>
  <c r="H48" i="1"/>
  <c r="H47" i="1"/>
  <c r="H45" i="1"/>
  <c r="H44" i="1"/>
  <c r="R21" i="1"/>
  <c r="Q21" i="1"/>
  <c r="P21" i="1"/>
  <c r="O21" i="1"/>
  <c r="M23" i="1"/>
  <c r="G25" i="1"/>
  <c r="H25" i="1"/>
  <c r="I25" i="1"/>
  <c r="J25" i="1"/>
  <c r="F25" i="1"/>
  <c r="D38" i="1"/>
  <c r="D39" i="1"/>
  <c r="D40" i="1"/>
  <c r="D41" i="1"/>
  <c r="D37" i="1"/>
  <c r="E33" i="1"/>
  <c r="E34" i="1"/>
  <c r="E35" i="1"/>
  <c r="E32" i="1"/>
  <c r="E31" i="1"/>
  <c r="I9" i="2"/>
  <c r="E20" i="2"/>
  <c r="D9" i="2"/>
  <c r="F23" i="1" l="1"/>
  <c r="F24" i="1"/>
  <c r="F8" i="1"/>
  <c r="G8" i="1" s="1"/>
  <c r="H8" i="1" s="1"/>
  <c r="F11" i="1"/>
  <c r="G11" i="1" s="1"/>
  <c r="H11" i="1" s="1"/>
  <c r="F14" i="1"/>
  <c r="F5" i="1"/>
  <c r="G5" i="1" s="1"/>
  <c r="H5" i="1" s="1"/>
  <c r="G2" i="1"/>
  <c r="F2" i="1"/>
  <c r="A20" i="2"/>
  <c r="E9" i="2"/>
  <c r="Q2" i="1"/>
  <c r="R2" i="1" s="1"/>
  <c r="G24" i="1"/>
  <c r="H24" i="1"/>
  <c r="I24" i="1"/>
  <c r="J24" i="1"/>
  <c r="M21" i="1"/>
  <c r="G23" i="1"/>
  <c r="H23" i="1"/>
  <c r="I23" i="1"/>
  <c r="J23" i="1"/>
  <c r="L21" i="1"/>
  <c r="N21" i="1" s="1"/>
  <c r="G29" i="1" s="1"/>
  <c r="H29" i="1" s="1"/>
  <c r="C9" i="2"/>
  <c r="D15" i="2"/>
  <c r="D14" i="2"/>
  <c r="G13" i="2"/>
  <c r="D13" i="2"/>
  <c r="G3" i="2"/>
  <c r="D4" i="2"/>
  <c r="D5" i="2"/>
  <c r="D3" i="2"/>
  <c r="E3" i="2" s="1"/>
  <c r="R5" i="1"/>
  <c r="R8" i="1"/>
  <c r="R11" i="1"/>
  <c r="R14" i="1"/>
  <c r="Q5" i="1"/>
  <c r="Q8" i="1"/>
  <c r="Q11" i="1"/>
  <c r="Q14" i="1"/>
  <c r="P5" i="1"/>
  <c r="P8" i="1"/>
  <c r="P11" i="1"/>
  <c r="P14" i="1"/>
  <c r="P2" i="1"/>
  <c r="O5" i="1"/>
  <c r="O8" i="1"/>
  <c r="O11" i="1"/>
  <c r="O14" i="1"/>
  <c r="O2" i="1"/>
  <c r="N5" i="1"/>
  <c r="N8" i="1"/>
  <c r="N11" i="1"/>
  <c r="N14" i="1"/>
  <c r="N2" i="1"/>
  <c r="M5" i="1"/>
  <c r="M8" i="1"/>
  <c r="M11" i="1"/>
  <c r="M14" i="1"/>
  <c r="M2" i="1"/>
  <c r="G14" i="1"/>
  <c r="H14" i="1" s="1"/>
  <c r="L14" i="1"/>
  <c r="K3" i="1"/>
  <c r="K4" i="1"/>
  <c r="K5" i="1"/>
  <c r="L5" i="1" s="1"/>
  <c r="K6" i="1"/>
  <c r="K7" i="1"/>
  <c r="K8" i="1"/>
  <c r="K9" i="1"/>
  <c r="K10" i="1"/>
  <c r="K11" i="1"/>
  <c r="L11" i="1" s="1"/>
  <c r="K12" i="1"/>
  <c r="K13" i="1"/>
  <c r="K14" i="1"/>
  <c r="K15" i="1"/>
  <c r="K16" i="1"/>
  <c r="K2" i="1"/>
  <c r="H2" i="1" l="1"/>
  <c r="F9" i="2"/>
  <c r="G9" i="2" s="1"/>
  <c r="B20" i="2" s="1"/>
  <c r="C20" i="2" s="1"/>
  <c r="F3" i="2"/>
  <c r="H3" i="2" s="1"/>
  <c r="I3" i="2" s="1"/>
  <c r="F13" i="2"/>
  <c r="H13" i="2" s="1"/>
  <c r="E13" i="2"/>
  <c r="L8" i="1"/>
  <c r="L2" i="1"/>
  <c r="I13" i="2" l="1"/>
</calcChain>
</file>

<file path=xl/sharedStrings.xml><?xml version="1.0" encoding="utf-8"?>
<sst xmlns="http://schemas.openxmlformats.org/spreadsheetml/2006/main" count="87" uniqueCount="75">
  <si>
    <t>№</t>
  </si>
  <si>
    <t>масса груза, кг</t>
  </si>
  <si>
    <t>Длина плеча, м</t>
  </si>
  <si>
    <t>сигма массы, кг</t>
  </si>
  <si>
    <t>сигма плеча, м</t>
  </si>
  <si>
    <t>Время прецесии, с</t>
  </si>
  <si>
    <t>Число оборотов</t>
  </si>
  <si>
    <t>Момент силы, Н*кг</t>
  </si>
  <si>
    <t>Сигма момента</t>
  </si>
  <si>
    <t>относ погр момента</t>
  </si>
  <si>
    <t>Период прецесии, с</t>
  </si>
  <si>
    <t>Средний пер. прец, с</t>
  </si>
  <si>
    <t>Сигма сл. пер, с</t>
  </si>
  <si>
    <t>Сигма сис. пер, с</t>
  </si>
  <si>
    <t>Сигма пер, с</t>
  </si>
  <si>
    <t>Скорость прецессии, с^-1</t>
  </si>
  <si>
    <t>Отн пер и ск прецессии</t>
  </si>
  <si>
    <t>Сигма ск прецессии, с-1</t>
  </si>
  <si>
    <t>колебания цилиндра</t>
  </si>
  <si>
    <t>t, с</t>
  </si>
  <si>
    <t>Число колебаний</t>
  </si>
  <si>
    <t>Период, с</t>
  </si>
  <si>
    <t>сигма сис пер, с</t>
  </si>
  <si>
    <t>сигма слу пер, с</t>
  </si>
  <si>
    <t>Т ср, с</t>
  </si>
  <si>
    <t>сигма Т, с</t>
  </si>
  <si>
    <t>отн Т</t>
  </si>
  <si>
    <t>колебания гироскопа</t>
  </si>
  <si>
    <t>масса, кг</t>
  </si>
  <si>
    <t>сигма м, кг</t>
  </si>
  <si>
    <t>сигма d, м</t>
  </si>
  <si>
    <t>диаметр, м</t>
  </si>
  <si>
    <t>Момент инерции, кг*м2</t>
  </si>
  <si>
    <t>Сигма мом ин</t>
  </si>
  <si>
    <t>отн мом ин</t>
  </si>
  <si>
    <t>мом ин гироскопа</t>
  </si>
  <si>
    <t>I0, кг*м^2</t>
  </si>
  <si>
    <t>Сигма</t>
  </si>
  <si>
    <t>мом ин цилиндра</t>
  </si>
  <si>
    <t>отн T0</t>
  </si>
  <si>
    <t>x</t>
  </si>
  <si>
    <t>y</t>
  </si>
  <si>
    <t>xy</t>
  </si>
  <si>
    <t>x^2</t>
  </si>
  <si>
    <t>ср. xy</t>
  </si>
  <si>
    <t>ср. x^2</t>
  </si>
  <si>
    <t>k</t>
  </si>
  <si>
    <t>M</t>
  </si>
  <si>
    <t>сигма M</t>
  </si>
  <si>
    <t>отн сиг M, %</t>
  </si>
  <si>
    <t>Омега</t>
  </si>
  <si>
    <t>сигма Омега</t>
  </si>
  <si>
    <t>отн сиг Ом, %</t>
  </si>
  <si>
    <t>y^2</t>
  </si>
  <si>
    <t>ср. y^2</t>
  </si>
  <si>
    <t>случ k</t>
  </si>
  <si>
    <t>сист k</t>
  </si>
  <si>
    <t>общ погр k</t>
  </si>
  <si>
    <t>отн k</t>
  </si>
  <si>
    <t>отн I0</t>
  </si>
  <si>
    <t>погр омег</t>
  </si>
  <si>
    <t>отн омег</t>
  </si>
  <si>
    <t>ню</t>
  </si>
  <si>
    <t>погр ню</t>
  </si>
  <si>
    <t>альфа опуск</t>
  </si>
  <si>
    <t>t</t>
  </si>
  <si>
    <t>Omega</t>
  </si>
  <si>
    <t>сигма альфа</t>
  </si>
  <si>
    <t>сигма t</t>
  </si>
  <si>
    <t>альфа оп рад</t>
  </si>
  <si>
    <t>сигма омега</t>
  </si>
  <si>
    <t>t ср</t>
  </si>
  <si>
    <t>случ</t>
  </si>
  <si>
    <t>сист</t>
  </si>
  <si>
    <t>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</si>
</sst>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9" formatCode="_-* #,##0.00000_-;\-* #,##0.00000_-;_-* &quot;-&quot;??_-;_-@_-"/>
    <numFmt numFmtId="182" formatCode="_-* #,##0.00000000_-;\-* #,##0.00000000_-;_-* &quot;-&quot;??_-;_-@_-"/>
    <numFmt numFmtId="187" formatCode="0.00000"/>
    <numFmt numFmtId="188" formatCode="0.0000"/>
    <numFmt numFmtId="189" formatCode="0.000"/>
    <numFmt numFmtId="190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2" fontId="0" fillId="0" borderId="1" xfId="1" applyNumberFormat="1" applyFont="1" applyBorder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 wrapText="1"/>
    </xf>
    <xf numFmtId="187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8" fontId="0" fillId="0" borderId="0" xfId="0" applyNumberFormat="1"/>
    <xf numFmtId="189" fontId="0" fillId="0" borderId="0" xfId="0" applyNumberFormat="1"/>
    <xf numFmtId="2" fontId="0" fillId="0" borderId="0" xfId="0" applyNumberFormat="1"/>
    <xf numFmtId="187" fontId="0" fillId="0" borderId="0" xfId="0" applyNumberFormat="1"/>
    <xf numFmtId="19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opLeftCell="A16" workbookViewId="0">
      <selection activeCell="R21" sqref="R21"/>
    </sheetView>
  </sheetViews>
  <sheetFormatPr defaultRowHeight="14.4" x14ac:dyDescent="0.3"/>
  <cols>
    <col min="2" max="2" width="10.6640625" customWidth="1"/>
    <col min="4" max="4" width="11.88671875" customWidth="1"/>
    <col min="6" max="6" width="11.44140625" customWidth="1"/>
    <col min="7" max="7" width="9.44140625" customWidth="1"/>
    <col min="8" max="9" width="11.6640625" customWidth="1"/>
    <col min="12" max="12" width="11.109375" customWidth="1"/>
    <col min="13" max="13" width="12" bestFit="1" customWidth="1"/>
    <col min="14" max="14" width="9.77734375" customWidth="1"/>
    <col min="16" max="16" width="9.21875" customWidth="1"/>
    <col min="17" max="17" width="10.44140625" customWidth="1"/>
  </cols>
  <sheetData>
    <row r="1" spans="1:18" ht="42" customHeight="1" x14ac:dyDescent="0.3">
      <c r="A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15</v>
      </c>
      <c r="R1" s="1" t="s">
        <v>17</v>
      </c>
    </row>
    <row r="2" spans="1:18" x14ac:dyDescent="0.3">
      <c r="A2">
        <v>1</v>
      </c>
      <c r="B2" s="5">
        <v>0.33600000000000002</v>
      </c>
      <c r="C2" s="6">
        <v>1E-3</v>
      </c>
      <c r="D2" s="5">
        <v>0.122</v>
      </c>
      <c r="E2" s="5">
        <v>1E-3</v>
      </c>
      <c r="F2" s="13">
        <f>B2*$A$20*D2</f>
        <v>0.40235697600000003</v>
      </c>
      <c r="G2" s="13">
        <f>F2*SQRT((C2/B2)^2+(E2/D2)^2)</f>
        <v>3.5086808722289064E-3</v>
      </c>
      <c r="H2" s="5">
        <f>G2/F2</f>
        <v>8.7203182286291619E-3</v>
      </c>
      <c r="I2">
        <v>425.95</v>
      </c>
      <c r="J2">
        <v>14</v>
      </c>
      <c r="K2" s="17">
        <f>I2/J2</f>
        <v>30.425000000000001</v>
      </c>
      <c r="L2" s="14">
        <f>AVERAGE(K2:K4)</f>
        <v>30.427142857142858</v>
      </c>
      <c r="M2" s="5">
        <f>SQRT(_xlfn.VAR.P(K2:K4)/2)</f>
        <v>9.750283442592678E-3</v>
      </c>
      <c r="N2" s="5">
        <f>$C$20/J2</f>
        <v>3.5714285714285712E-2</v>
      </c>
      <c r="O2" s="14">
        <f>SQRT(M2^2+N2^2)</f>
        <v>3.7021321306681232E-2</v>
      </c>
      <c r="P2" s="5">
        <f>O2/L2</f>
        <v>1.21672026455124E-3</v>
      </c>
      <c r="Q2" s="12">
        <f>(2*PI())/L2</f>
        <v>0.20649935278772291</v>
      </c>
      <c r="R2" s="12">
        <f>P2*Q2</f>
        <v>2.5125194715353808E-4</v>
      </c>
    </row>
    <row r="3" spans="1:18" x14ac:dyDescent="0.3">
      <c r="A3">
        <v>2</v>
      </c>
      <c r="B3" s="5"/>
      <c r="C3" s="6"/>
      <c r="D3" s="5"/>
      <c r="E3" s="5"/>
      <c r="F3" s="13"/>
      <c r="G3" s="13"/>
      <c r="H3" s="5"/>
      <c r="I3">
        <v>426.23</v>
      </c>
      <c r="J3">
        <v>14</v>
      </c>
      <c r="K3" s="17">
        <f t="shared" ref="K3:K16" si="0">I3/J3</f>
        <v>30.445</v>
      </c>
      <c r="L3" s="14"/>
      <c r="M3" s="5"/>
      <c r="N3" s="5"/>
      <c r="O3" s="14"/>
      <c r="P3" s="5"/>
      <c r="Q3" s="12"/>
      <c r="R3" s="12"/>
    </row>
    <row r="4" spans="1:18" x14ac:dyDescent="0.3">
      <c r="A4">
        <v>3</v>
      </c>
      <c r="B4" s="5"/>
      <c r="C4" s="6"/>
      <c r="D4" s="5"/>
      <c r="E4" s="5"/>
      <c r="F4" s="13"/>
      <c r="G4" s="13"/>
      <c r="H4" s="5"/>
      <c r="I4">
        <v>425.76</v>
      </c>
      <c r="J4">
        <v>14</v>
      </c>
      <c r="K4" s="17">
        <f t="shared" si="0"/>
        <v>30.411428571428569</v>
      </c>
      <c r="L4" s="14"/>
      <c r="M4" s="5"/>
      <c r="N4" s="5"/>
      <c r="O4" s="14"/>
      <c r="P4" s="5"/>
      <c r="Q4" s="12"/>
      <c r="R4" s="12"/>
    </row>
    <row r="5" spans="1:18" x14ac:dyDescent="0.3">
      <c r="A5">
        <v>4</v>
      </c>
      <c r="B5" s="5">
        <v>0.26900000000000002</v>
      </c>
      <c r="C5" s="6">
        <v>1E-3</v>
      </c>
      <c r="D5" s="5">
        <v>0.122</v>
      </c>
      <c r="E5" s="5">
        <v>1E-3</v>
      </c>
      <c r="F5" s="13">
        <f>B5*$A$20*D5</f>
        <v>0.32212507900000004</v>
      </c>
      <c r="G5" s="13">
        <f t="shared" ref="G5" si="1">F5*SQRT((C5/B5)^2+(E5/D5)^2)</f>
        <v>2.8992302067292366E-3</v>
      </c>
      <c r="H5" s="5">
        <f t="shared" ref="H5" si="2">G5/F5</f>
        <v>9.0003243948889693E-3</v>
      </c>
      <c r="I5">
        <v>264.57</v>
      </c>
      <c r="J5">
        <v>7</v>
      </c>
      <c r="K5" s="17">
        <f t="shared" si="0"/>
        <v>37.795714285714283</v>
      </c>
      <c r="L5" s="5">
        <f t="shared" ref="L5" si="3">AVERAGE(K5:K7)</f>
        <v>37.869999999999997</v>
      </c>
      <c r="M5" s="5">
        <f t="shared" ref="M5" si="4">SQRT(_xlfn.VAR.P(K5:K7)/2)</f>
        <v>3.8234863173611237E-2</v>
      </c>
      <c r="N5" s="5">
        <f t="shared" ref="N5" si="5">$C$20/J5</f>
        <v>7.1428571428571425E-2</v>
      </c>
      <c r="O5" s="14">
        <f t="shared" ref="O5" si="6">SQRT(M5^2+N5^2)</f>
        <v>8.1018180541353207E-2</v>
      </c>
      <c r="P5" s="5">
        <f t="shared" ref="P5" si="7">O5/L5</f>
        <v>2.1393763015936946E-3</v>
      </c>
      <c r="Q5" s="12">
        <f t="shared" ref="Q5" si="8">(2*PI())/L5</f>
        <v>0.16591458429309708</v>
      </c>
      <c r="R5" s="12">
        <f t="shared" ref="R5" si="9">P5*Q5</f>
        <v>3.5495372972542134E-4</v>
      </c>
    </row>
    <row r="6" spans="1:18" x14ac:dyDescent="0.3">
      <c r="A6">
        <v>5</v>
      </c>
      <c r="B6" s="5"/>
      <c r="C6" s="6"/>
      <c r="D6" s="5"/>
      <c r="E6" s="5"/>
      <c r="F6" s="13"/>
      <c r="G6" s="13"/>
      <c r="H6" s="5"/>
      <c r="I6">
        <v>265.45999999999998</v>
      </c>
      <c r="J6">
        <v>7</v>
      </c>
      <c r="K6" s="17">
        <f t="shared" si="0"/>
        <v>37.92285714285714</v>
      </c>
      <c r="L6" s="5"/>
      <c r="M6" s="5"/>
      <c r="N6" s="5"/>
      <c r="O6" s="14"/>
      <c r="P6" s="5"/>
      <c r="Q6" s="12"/>
      <c r="R6" s="12"/>
    </row>
    <row r="7" spans="1:18" x14ac:dyDescent="0.3">
      <c r="A7">
        <v>6</v>
      </c>
      <c r="B7" s="5"/>
      <c r="C7" s="6"/>
      <c r="D7" s="5"/>
      <c r="E7" s="5"/>
      <c r="F7" s="13"/>
      <c r="G7" s="13"/>
      <c r="H7" s="5"/>
      <c r="I7">
        <v>265.24</v>
      </c>
      <c r="J7">
        <v>7</v>
      </c>
      <c r="K7" s="17">
        <f t="shared" si="0"/>
        <v>37.89142857142857</v>
      </c>
      <c r="L7" s="5"/>
      <c r="M7" s="5"/>
      <c r="N7" s="5"/>
      <c r="O7" s="14"/>
      <c r="P7" s="5"/>
      <c r="Q7" s="12"/>
      <c r="R7" s="12"/>
    </row>
    <row r="8" spans="1:18" x14ac:dyDescent="0.3">
      <c r="A8">
        <v>7</v>
      </c>
      <c r="B8" s="5">
        <v>0.215</v>
      </c>
      <c r="C8" s="6">
        <v>1E-3</v>
      </c>
      <c r="D8" s="5">
        <v>0.122</v>
      </c>
      <c r="E8" s="5">
        <v>1E-3</v>
      </c>
      <c r="F8" s="13">
        <f t="shared" ref="F8" si="10">B8*$A$20*D8</f>
        <v>0.25746056500000003</v>
      </c>
      <c r="G8" s="13">
        <f t="shared" ref="G8" si="11">F8*SQRT((C8/B8)^2+(E8/D8)^2)</f>
        <v>2.4264146297855302E-3</v>
      </c>
      <c r="H8" s="5">
        <f t="shared" ref="H8" si="12">G8/F8</f>
        <v>9.4244127436973885E-3</v>
      </c>
      <c r="I8">
        <v>142.09</v>
      </c>
      <c r="J8">
        <v>3</v>
      </c>
      <c r="K8" s="17">
        <f t="shared" si="0"/>
        <v>47.363333333333337</v>
      </c>
      <c r="L8" s="14">
        <f t="shared" ref="L8" si="13">AVERAGE(K8:K10)</f>
        <v>47.412222222222226</v>
      </c>
      <c r="M8" s="5">
        <f t="shared" ref="M8" si="14">SQRT(_xlfn.VAR.P(K8:K10)/2)</f>
        <v>2.8888888888887302E-2</v>
      </c>
      <c r="N8" s="5">
        <f t="shared" ref="N8" si="15">$C$20/J8</f>
        <v>0.16666666666666666</v>
      </c>
      <c r="O8" s="14">
        <f t="shared" ref="O8" si="16">SQRT(M8^2+N8^2)</f>
        <v>0.16915184207986697</v>
      </c>
      <c r="P8" s="5">
        <f t="shared" ref="P8" si="17">O8/L8</f>
        <v>3.5676843259328413E-3</v>
      </c>
      <c r="Q8" s="12">
        <f t="shared" ref="Q8" si="18">(2*PI())/L8</f>
        <v>0.1325224807588673</v>
      </c>
      <c r="R8" s="12">
        <f t="shared" ref="R8" si="19">P8*Q8</f>
        <v>4.7279837743714742E-4</v>
      </c>
    </row>
    <row r="9" spans="1:18" x14ac:dyDescent="0.3">
      <c r="A9">
        <v>8</v>
      </c>
      <c r="B9" s="5"/>
      <c r="C9" s="6"/>
      <c r="D9" s="5"/>
      <c r="E9" s="5"/>
      <c r="F9" s="13"/>
      <c r="G9" s="13"/>
      <c r="H9" s="5"/>
      <c r="I9">
        <v>142.38999999999999</v>
      </c>
      <c r="J9">
        <v>3</v>
      </c>
      <c r="K9" s="17">
        <f t="shared" si="0"/>
        <v>47.463333333333331</v>
      </c>
      <c r="L9" s="14"/>
      <c r="M9" s="5"/>
      <c r="N9" s="5"/>
      <c r="O9" s="14"/>
      <c r="P9" s="5"/>
      <c r="Q9" s="12"/>
      <c r="R9" s="12"/>
    </row>
    <row r="10" spans="1:18" x14ac:dyDescent="0.3">
      <c r="A10">
        <v>9</v>
      </c>
      <c r="B10" s="5"/>
      <c r="C10" s="6"/>
      <c r="D10" s="5"/>
      <c r="E10" s="5"/>
      <c r="F10" s="13"/>
      <c r="G10" s="13"/>
      <c r="H10" s="5"/>
      <c r="I10">
        <v>142.22999999999999</v>
      </c>
      <c r="J10">
        <v>3</v>
      </c>
      <c r="K10" s="17">
        <f t="shared" si="0"/>
        <v>47.41</v>
      </c>
      <c r="L10" s="14"/>
      <c r="M10" s="5"/>
      <c r="N10" s="5"/>
      <c r="O10" s="14"/>
      <c r="P10" s="5"/>
      <c r="Q10" s="12"/>
      <c r="R10" s="12"/>
    </row>
    <row r="11" spans="1:18" x14ac:dyDescent="0.3">
      <c r="A11">
        <v>10</v>
      </c>
      <c r="B11" s="5">
        <v>0.17399999999999999</v>
      </c>
      <c r="C11" s="6">
        <v>1E-3</v>
      </c>
      <c r="D11" s="5">
        <v>0.122</v>
      </c>
      <c r="E11" s="5">
        <v>1E-3</v>
      </c>
      <c r="F11" s="13">
        <f t="shared" ref="F11" si="20">B11*$A$20*D11</f>
        <v>0.20836343399999999</v>
      </c>
      <c r="G11" s="13">
        <f t="shared" ref="G11" si="21">F11*SQRT((C11/B11)^2+(E11/D11)^2)</f>
        <v>2.0858803555549397E-3</v>
      </c>
      <c r="H11" s="5">
        <f t="shared" ref="H11" si="22">G11/F11</f>
        <v>1.0010779317233463E-2</v>
      </c>
      <c r="I11">
        <v>116.81</v>
      </c>
      <c r="J11">
        <v>2</v>
      </c>
      <c r="K11" s="17">
        <f t="shared" si="0"/>
        <v>58.405000000000001</v>
      </c>
      <c r="L11" s="14">
        <f t="shared" ref="L11" si="23">AVERAGE(K11:K13)</f>
        <v>58.384999999999998</v>
      </c>
      <c r="M11" s="5">
        <f t="shared" ref="M11" si="24">SQRT(_xlfn.VAR.P(K11:K13)/2)</f>
        <v>3.0550504633037507E-2</v>
      </c>
      <c r="N11" s="5">
        <f t="shared" ref="N11" si="25">$C$20/J11</f>
        <v>0.25</v>
      </c>
      <c r="O11" s="14">
        <f t="shared" ref="O11" si="26">SQRT(M11^2+N11^2)</f>
        <v>0.25185974933151434</v>
      </c>
      <c r="P11" s="5">
        <f t="shared" ref="P11" si="27">O11/L11</f>
        <v>4.3137749307444436E-3</v>
      </c>
      <c r="Q11" s="12">
        <f t="shared" ref="Q11" si="28">(2*PI())/L11</f>
        <v>0.10761643071301852</v>
      </c>
      <c r="R11" s="12">
        <f t="shared" ref="R11" si="29">P11*Q11</f>
        <v>4.6423306094601569E-4</v>
      </c>
    </row>
    <row r="12" spans="1:18" x14ac:dyDescent="0.3">
      <c r="A12">
        <v>11</v>
      </c>
      <c r="B12" s="5"/>
      <c r="C12" s="6"/>
      <c r="D12" s="5"/>
      <c r="E12" s="5"/>
      <c r="F12" s="13"/>
      <c r="G12" s="13"/>
      <c r="H12" s="5"/>
      <c r="I12">
        <v>116.65</v>
      </c>
      <c r="J12">
        <v>2</v>
      </c>
      <c r="K12" s="17">
        <f t="shared" si="0"/>
        <v>58.325000000000003</v>
      </c>
      <c r="L12" s="14"/>
      <c r="M12" s="5"/>
      <c r="N12" s="5"/>
      <c r="O12" s="14"/>
      <c r="P12" s="5"/>
      <c r="Q12" s="12"/>
      <c r="R12" s="12"/>
    </row>
    <row r="13" spans="1:18" x14ac:dyDescent="0.3">
      <c r="A13">
        <v>12</v>
      </c>
      <c r="B13" s="5"/>
      <c r="C13" s="6"/>
      <c r="D13" s="5"/>
      <c r="E13" s="5"/>
      <c r="F13" s="13"/>
      <c r="G13" s="13"/>
      <c r="H13" s="5"/>
      <c r="I13">
        <v>116.85</v>
      </c>
      <c r="J13">
        <v>2</v>
      </c>
      <c r="K13" s="17">
        <f t="shared" si="0"/>
        <v>58.424999999999997</v>
      </c>
      <c r="L13" s="14"/>
      <c r="M13" s="5"/>
      <c r="N13" s="5"/>
      <c r="O13" s="14"/>
      <c r="P13" s="5"/>
      <c r="Q13" s="12"/>
      <c r="R13" s="12"/>
    </row>
    <row r="14" spans="1:18" x14ac:dyDescent="0.3">
      <c r="A14">
        <v>13</v>
      </c>
      <c r="B14" s="5">
        <v>0.13800000000000001</v>
      </c>
      <c r="C14" s="6">
        <v>1E-3</v>
      </c>
      <c r="D14" s="5">
        <v>0.122</v>
      </c>
      <c r="E14" s="5">
        <v>1E-3</v>
      </c>
      <c r="F14" s="13">
        <f t="shared" ref="F14" si="30">B14*$A$20*D14</f>
        <v>0.16525375800000003</v>
      </c>
      <c r="G14" s="13">
        <f t="shared" ref="G14" si="31">F14*SQRT((C14/B14)^2+(E14/D14)^2)</f>
        <v>1.8079714039779503E-3</v>
      </c>
      <c r="H14" s="5">
        <f t="shared" ref="H14" si="32">G14/F14</f>
        <v>1.0940576637161558E-2</v>
      </c>
      <c r="I14">
        <v>147.55000000000001</v>
      </c>
      <c r="J14">
        <v>2</v>
      </c>
      <c r="K14" s="17">
        <f t="shared" si="0"/>
        <v>73.775000000000006</v>
      </c>
      <c r="L14" s="14">
        <f t="shared" ref="L14" si="33">AVERAGE(K14:K16)</f>
        <v>73.803333333333327</v>
      </c>
      <c r="M14" s="5">
        <f t="shared" ref="M14" si="34">SQRT(_xlfn.VAR.P(K14:K16)/2)</f>
        <v>3.8765677832042107E-2</v>
      </c>
      <c r="N14" s="5">
        <f t="shared" ref="N14" si="35">$C$20/J14</f>
        <v>0.25</v>
      </c>
      <c r="O14" s="14">
        <f t="shared" ref="O14" si="36">SQRT(M14^2+N14^2)</f>
        <v>0.25298770281928268</v>
      </c>
      <c r="P14" s="5">
        <f t="shared" ref="P14" si="37">O14/L14</f>
        <v>3.4278628266918754E-3</v>
      </c>
      <c r="Q14" s="12">
        <f t="shared" ref="Q14" si="38">(2*PI())/L14</f>
        <v>8.5134167027409599E-2</v>
      </c>
      <c r="R14" s="12">
        <f t="shared" ref="R14" si="39">P14*Q14</f>
        <v>2.9182824643463452E-4</v>
      </c>
    </row>
    <row r="15" spans="1:18" x14ac:dyDescent="0.3">
      <c r="A15">
        <v>14</v>
      </c>
      <c r="B15" s="5"/>
      <c r="C15" s="6"/>
      <c r="D15" s="5"/>
      <c r="E15" s="5"/>
      <c r="F15" s="13"/>
      <c r="G15" s="13"/>
      <c r="H15" s="5"/>
      <c r="I15">
        <v>147.51</v>
      </c>
      <c r="J15">
        <v>2</v>
      </c>
      <c r="K15" s="17">
        <f t="shared" si="0"/>
        <v>73.754999999999995</v>
      </c>
      <c r="L15" s="14"/>
      <c r="M15" s="5"/>
      <c r="N15" s="5"/>
      <c r="O15" s="14"/>
      <c r="P15" s="5"/>
      <c r="Q15" s="12"/>
      <c r="R15" s="12"/>
    </row>
    <row r="16" spans="1:18" x14ac:dyDescent="0.3">
      <c r="A16">
        <v>15</v>
      </c>
      <c r="B16" s="5"/>
      <c r="C16" s="6"/>
      <c r="D16" s="5"/>
      <c r="E16" s="5"/>
      <c r="F16" s="13"/>
      <c r="G16" s="13"/>
      <c r="H16" s="5"/>
      <c r="I16">
        <v>147.76</v>
      </c>
      <c r="J16">
        <v>2</v>
      </c>
      <c r="K16" s="17">
        <f t="shared" si="0"/>
        <v>73.88</v>
      </c>
      <c r="L16" s="14"/>
      <c r="M16" s="5"/>
      <c r="N16" s="5"/>
      <c r="O16" s="14"/>
      <c r="P16" s="5"/>
      <c r="Q16" s="12"/>
      <c r="R16" s="12"/>
    </row>
    <row r="20" spans="1:18" x14ac:dyDescent="0.3">
      <c r="A20">
        <v>9.8155000000000001</v>
      </c>
      <c r="C20">
        <v>0.5</v>
      </c>
      <c r="L20" t="s">
        <v>44</v>
      </c>
      <c r="M20" t="s">
        <v>45</v>
      </c>
      <c r="N20" t="s">
        <v>46</v>
      </c>
      <c r="O20" t="s">
        <v>55</v>
      </c>
      <c r="P20" t="s">
        <v>56</v>
      </c>
      <c r="Q20" t="s">
        <v>57</v>
      </c>
      <c r="R20" t="s">
        <v>58</v>
      </c>
    </row>
    <row r="21" spans="1:18" x14ac:dyDescent="0.3">
      <c r="E21" t="s">
        <v>40</v>
      </c>
      <c r="F21">
        <v>0.40235697600000003</v>
      </c>
      <c r="G21">
        <v>0.32212507900000004</v>
      </c>
      <c r="H21">
        <v>0.25746056500000003</v>
      </c>
      <c r="I21">
        <v>0.20836343399999999</v>
      </c>
      <c r="J21">
        <v>0.16525375800000003</v>
      </c>
      <c r="L21">
        <f>AVERAGE(F23:J23)</f>
        <v>4.142861731426755E-2</v>
      </c>
      <c r="M21">
        <f>AVERAGE(F24:J24)</f>
        <v>8.0533154069626994E-2</v>
      </c>
      <c r="N21">
        <f>L21/M21</f>
        <v>0.51442934022488906</v>
      </c>
      <c r="O21" s="15">
        <f>1/SQRT(4)*SQRT(M23/M21-N21^2)</f>
        <v>5.4652439347098567E-4</v>
      </c>
      <c r="P21" s="15">
        <f>N21*SQRT(H2^2+P8^2)</f>
        <v>4.8469051270746402E-3</v>
      </c>
      <c r="Q21" s="15">
        <f>SQRT(O21^2+P21^2)</f>
        <v>4.8776201393221736E-3</v>
      </c>
      <c r="R21">
        <f>Q21/N21</f>
        <v>9.4816134266172743E-3</v>
      </c>
    </row>
    <row r="22" spans="1:18" x14ac:dyDescent="0.3">
      <c r="E22" t="s">
        <v>41</v>
      </c>
      <c r="F22">
        <v>0.20649935278772291</v>
      </c>
      <c r="G22">
        <v>0.16591458429309708</v>
      </c>
      <c r="H22">
        <v>0.1325224807588673</v>
      </c>
      <c r="I22">
        <v>0.10761643071301852</v>
      </c>
      <c r="J22">
        <v>8.5134167027409599E-2</v>
      </c>
      <c r="M22" t="s">
        <v>54</v>
      </c>
    </row>
    <row r="23" spans="1:18" x14ac:dyDescent="0.3">
      <c r="E23" t="s">
        <v>42</v>
      </c>
      <c r="F23">
        <f>F21*F22</f>
        <v>8.3086455133625364E-2</v>
      </c>
      <c r="G23">
        <f t="shared" ref="G23:J23" si="40">G21*G22</f>
        <v>5.3445248572666061E-2</v>
      </c>
      <c r="H23">
        <f t="shared" si="40"/>
        <v>3.4119312771379605E-2</v>
      </c>
      <c r="I23">
        <f t="shared" si="40"/>
        <v>2.2423329058187606E-2</v>
      </c>
      <c r="J23">
        <f t="shared" si="40"/>
        <v>1.4068741035479128E-2</v>
      </c>
      <c r="M23">
        <f>AVERAGE(F25:J25)</f>
        <v>2.1312192488848962E-2</v>
      </c>
    </row>
    <row r="24" spans="1:18" x14ac:dyDescent="0.3">
      <c r="E24" t="s">
        <v>43</v>
      </c>
      <c r="F24">
        <f>F21^2</f>
        <v>0.16189113613586462</v>
      </c>
      <c r="G24">
        <f t="shared" ref="G24:J24" si="41">G21^2</f>
        <v>0.10376456652075626</v>
      </c>
      <c r="H24">
        <f t="shared" si="41"/>
        <v>6.6285942530119241E-2</v>
      </c>
      <c r="I24">
        <f t="shared" si="41"/>
        <v>4.3415320628272351E-2</v>
      </c>
      <c r="J24">
        <f t="shared" si="41"/>
        <v>2.7308804533122573E-2</v>
      </c>
    </row>
    <row r="25" spans="1:18" x14ac:dyDescent="0.3">
      <c r="E25" t="s">
        <v>53</v>
      </c>
      <c r="F25">
        <f>F22^2</f>
        <v>4.2641982701748446E-2</v>
      </c>
      <c r="G25">
        <f t="shared" ref="G25:J25" si="42">G22^2</f>
        <v>2.7527649281151215E-2</v>
      </c>
      <c r="H25">
        <f t="shared" si="42"/>
        <v>1.7562207906484353E-2</v>
      </c>
      <c r="I25">
        <f t="shared" si="42"/>
        <v>1.1581296159409915E-2</v>
      </c>
      <c r="J25">
        <f t="shared" si="42"/>
        <v>7.2478263954508758E-3</v>
      </c>
    </row>
    <row r="29" spans="1:18" x14ac:dyDescent="0.3">
      <c r="F29" s="2">
        <v>7.8056430872265831E-4</v>
      </c>
      <c r="G29">
        <f>1/(N21*F29)</f>
        <v>2490.3797728919826</v>
      </c>
      <c r="H29">
        <f>G29/(2*PI())</f>
        <v>396.35625103183077</v>
      </c>
    </row>
    <row r="31" spans="1:18" x14ac:dyDescent="0.3">
      <c r="B31">
        <v>0.87203182286291625</v>
      </c>
      <c r="C31">
        <v>0.40235697600000003</v>
      </c>
      <c r="D31">
        <v>3.5086808722289064E-3</v>
      </c>
      <c r="E31">
        <f>H2*100</f>
        <v>0.87203182286291625</v>
      </c>
      <c r="F31" t="s">
        <v>47</v>
      </c>
      <c r="G31" s="16">
        <v>0.40235697600000003</v>
      </c>
      <c r="H31" s="16">
        <v>0.32212507900000004</v>
      </c>
      <c r="I31" s="16">
        <v>0.25746056500000003</v>
      </c>
      <c r="J31" s="16">
        <v>0.20836343399999999</v>
      </c>
      <c r="K31" s="16">
        <v>0.16525375800000003</v>
      </c>
      <c r="O31">
        <v>0.40235697600000003</v>
      </c>
      <c r="P31">
        <v>0.206499352787723</v>
      </c>
      <c r="Q31">
        <v>3.5086808722289064E-3</v>
      </c>
      <c r="R31">
        <v>2.5125194715353808E-4</v>
      </c>
    </row>
    <row r="32" spans="1:18" x14ac:dyDescent="0.3">
      <c r="B32">
        <v>0.90003243948889688</v>
      </c>
      <c r="C32">
        <v>0.32212507900000004</v>
      </c>
      <c r="D32">
        <v>2.8992302067292366E-3</v>
      </c>
      <c r="E32">
        <f>H5*100</f>
        <v>0.90003243948889688</v>
      </c>
      <c r="F32" t="s">
        <v>48</v>
      </c>
      <c r="G32" s="16">
        <v>3.5086808722289064E-3</v>
      </c>
      <c r="H32" s="16">
        <v>2.8992302067292366E-3</v>
      </c>
      <c r="I32" s="16">
        <v>2.4264146297855302E-3</v>
      </c>
      <c r="J32" s="16">
        <v>2.0858803555549397E-3</v>
      </c>
      <c r="K32" s="16">
        <v>1.8079714039779503E-3</v>
      </c>
      <c r="O32">
        <v>0.32212507900000004</v>
      </c>
      <c r="P32">
        <v>0.16591458429309708</v>
      </c>
      <c r="Q32">
        <v>2.8992302067292366E-3</v>
      </c>
      <c r="R32">
        <v>3.5495372972542134E-4</v>
      </c>
    </row>
    <row r="33" spans="2:18" x14ac:dyDescent="0.3">
      <c r="B33">
        <v>0.94244127436973879</v>
      </c>
      <c r="C33">
        <v>0.25746056500000003</v>
      </c>
      <c r="D33">
        <v>2.4264146297855302E-3</v>
      </c>
      <c r="E33">
        <f>H8*100</f>
        <v>0.94244127436973879</v>
      </c>
      <c r="F33" t="s">
        <v>49</v>
      </c>
      <c r="G33" s="17">
        <v>0.87203182286291625</v>
      </c>
      <c r="H33" s="17">
        <v>0.90003243948889688</v>
      </c>
      <c r="I33" s="17">
        <v>0.94244127436973879</v>
      </c>
      <c r="J33" s="17">
        <v>1.0010779317233462</v>
      </c>
      <c r="K33" s="17">
        <v>1.0940576637161559</v>
      </c>
      <c r="O33">
        <v>0.25746056500000003</v>
      </c>
      <c r="P33">
        <v>0.1325224807588673</v>
      </c>
      <c r="Q33">
        <v>2.4264146297855302E-3</v>
      </c>
      <c r="R33">
        <v>4.7279837743714742E-4</v>
      </c>
    </row>
    <row r="34" spans="2:18" x14ac:dyDescent="0.3">
      <c r="B34">
        <v>1.0010779317233462</v>
      </c>
      <c r="C34">
        <v>0.20836343399999999</v>
      </c>
      <c r="D34">
        <v>2.0858803555549397E-3</v>
      </c>
      <c r="E34">
        <f>H11*100</f>
        <v>1.0010779317233462</v>
      </c>
      <c r="F34" t="s">
        <v>50</v>
      </c>
      <c r="G34" s="15">
        <v>0.20649935278772291</v>
      </c>
      <c r="H34" s="15">
        <v>0.16591458429309708</v>
      </c>
      <c r="I34" s="15">
        <v>0.1325224807588673</v>
      </c>
      <c r="J34" s="15">
        <v>0.10761643071301852</v>
      </c>
      <c r="K34" s="15">
        <v>8.5134167027409599E-2</v>
      </c>
      <c r="O34">
        <v>0.20836343399999999</v>
      </c>
      <c r="P34">
        <v>0.10761643071301852</v>
      </c>
      <c r="Q34">
        <v>2.0858803555549397E-3</v>
      </c>
      <c r="R34">
        <v>4.6423306094601569E-4</v>
      </c>
    </row>
    <row r="35" spans="2:18" x14ac:dyDescent="0.3">
      <c r="B35">
        <v>1.0940576637161559</v>
      </c>
      <c r="C35">
        <v>0.16525375800000003</v>
      </c>
      <c r="D35">
        <v>1.8079714039779503E-3</v>
      </c>
      <c r="E35">
        <f>H14*100</f>
        <v>1.0940576637161559</v>
      </c>
      <c r="F35" t="s">
        <v>51</v>
      </c>
      <c r="G35" s="15">
        <v>2.5125194715353808E-4</v>
      </c>
      <c r="H35" s="15">
        <v>3.5495372972542134E-4</v>
      </c>
      <c r="I35" s="15">
        <v>4.7279837743714742E-4</v>
      </c>
      <c r="J35" s="15">
        <v>4.6423306094601569E-4</v>
      </c>
      <c r="K35" s="15">
        <v>2.9182824643463452E-4</v>
      </c>
      <c r="O35">
        <v>0.16525375800000003</v>
      </c>
      <c r="P35">
        <v>8.5134167027409599E-2</v>
      </c>
      <c r="Q35">
        <v>1.8079714039779503E-3</v>
      </c>
      <c r="R35">
        <v>2.9182824643463452E-4</v>
      </c>
    </row>
    <row r="36" spans="2:18" x14ac:dyDescent="0.3">
      <c r="F36" t="s">
        <v>52</v>
      </c>
      <c r="G36" s="17">
        <v>0.121672026455124</v>
      </c>
      <c r="H36" s="17">
        <v>0.21393763015936945</v>
      </c>
      <c r="I36" s="17">
        <v>0.35676843259328411</v>
      </c>
      <c r="J36" s="17">
        <v>0.43137749307444434</v>
      </c>
      <c r="K36" s="17">
        <v>0.34278628266918754</v>
      </c>
    </row>
    <row r="37" spans="2:18" x14ac:dyDescent="0.3">
      <c r="B37">
        <v>0.20649935278772291</v>
      </c>
      <c r="C37">
        <v>2.5125194715353808E-4</v>
      </c>
      <c r="D37">
        <f>P2*100</f>
        <v>0.121672026455124</v>
      </c>
      <c r="E37">
        <v>0.121672026455124</v>
      </c>
    </row>
    <row r="38" spans="2:18" x14ac:dyDescent="0.3">
      <c r="B38">
        <v>0.16591458429309708</v>
      </c>
      <c r="C38">
        <v>3.5495372972542134E-4</v>
      </c>
      <c r="D38">
        <f>P5*100</f>
        <v>0.21393763015936945</v>
      </c>
      <c r="E38">
        <v>0.21393763015936945</v>
      </c>
    </row>
    <row r="39" spans="2:18" x14ac:dyDescent="0.3">
      <c r="B39">
        <v>0.1325224807588673</v>
      </c>
      <c r="C39">
        <v>4.7279837743714742E-4</v>
      </c>
      <c r="D39">
        <f>P8*100</f>
        <v>0.35676843259328411</v>
      </c>
      <c r="E39">
        <v>0.35676843259328411</v>
      </c>
    </row>
    <row r="40" spans="2:18" x14ac:dyDescent="0.3">
      <c r="B40">
        <v>0.10761643071301852</v>
      </c>
      <c r="C40">
        <v>4.6423306094601569E-4</v>
      </c>
      <c r="D40">
        <f>P11*100</f>
        <v>0.43137749307444434</v>
      </c>
      <c r="E40">
        <v>0.43137749307444434</v>
      </c>
    </row>
    <row r="41" spans="2:18" x14ac:dyDescent="0.3">
      <c r="B41">
        <v>8.5134167027409599E-2</v>
      </c>
      <c r="C41">
        <v>2.9182824643463452E-4</v>
      </c>
      <c r="D41">
        <f>P14*100</f>
        <v>0.34278628266918754</v>
      </c>
      <c r="E41">
        <v>0.34278628266918754</v>
      </c>
    </row>
    <row r="42" spans="2:18" x14ac:dyDescent="0.3">
      <c r="G42" t="s">
        <v>59</v>
      </c>
      <c r="H42">
        <v>3.5339481405267402E-2</v>
      </c>
    </row>
    <row r="43" spans="2:18" x14ac:dyDescent="0.3">
      <c r="G43" t="s">
        <v>58</v>
      </c>
      <c r="H43">
        <v>9.4816134266172743E-3</v>
      </c>
    </row>
    <row r="44" spans="2:18" x14ac:dyDescent="0.3">
      <c r="G44" t="s">
        <v>60</v>
      </c>
      <c r="H44">
        <f>G29*SQRT(H42^2+H43^2)</f>
        <v>91.121356919799979</v>
      </c>
    </row>
    <row r="45" spans="2:18" x14ac:dyDescent="0.3">
      <c r="G45" t="s">
        <v>61</v>
      </c>
      <c r="H45">
        <f>H44/G29</f>
        <v>3.6589341879364946E-2</v>
      </c>
    </row>
    <row r="47" spans="2:18" x14ac:dyDescent="0.3">
      <c r="G47" t="s">
        <v>62</v>
      </c>
      <c r="H47" s="19">
        <f>G29/(2*PI())</f>
        <v>396.35625103183077</v>
      </c>
    </row>
    <row r="48" spans="2:18" x14ac:dyDescent="0.3">
      <c r="G48" t="s">
        <v>63</v>
      </c>
      <c r="H48" s="19">
        <f>H47*H45</f>
        <v>14.502414375027051</v>
      </c>
    </row>
  </sheetData>
  <mergeCells count="70">
    <mergeCell ref="D2:D4"/>
    <mergeCell ref="D5:D7"/>
    <mergeCell ref="D8:D10"/>
    <mergeCell ref="D11:D13"/>
    <mergeCell ref="D14:D16"/>
    <mergeCell ref="B2:B4"/>
    <mergeCell ref="B5:B7"/>
    <mergeCell ref="B8:B10"/>
    <mergeCell ref="B11:B13"/>
    <mergeCell ref="B14:B16"/>
    <mergeCell ref="E2:E4"/>
    <mergeCell ref="E5:E7"/>
    <mergeCell ref="E8:E10"/>
    <mergeCell ref="E11:E13"/>
    <mergeCell ref="E14:E16"/>
    <mergeCell ref="C2:C4"/>
    <mergeCell ref="C5:C7"/>
    <mergeCell ref="C8:C10"/>
    <mergeCell ref="C11:C13"/>
    <mergeCell ref="C14:C16"/>
    <mergeCell ref="L2:L4"/>
    <mergeCell ref="L5:L7"/>
    <mergeCell ref="L8:L10"/>
    <mergeCell ref="L11:L13"/>
    <mergeCell ref="L14:L16"/>
    <mergeCell ref="F2:F4"/>
    <mergeCell ref="F5:F7"/>
    <mergeCell ref="F8:F10"/>
    <mergeCell ref="F11:F13"/>
    <mergeCell ref="F14:F16"/>
    <mergeCell ref="H2:H4"/>
    <mergeCell ref="H5:H7"/>
    <mergeCell ref="H8:H10"/>
    <mergeCell ref="H11:H13"/>
    <mergeCell ref="H14:H16"/>
    <mergeCell ref="G2:G4"/>
    <mergeCell ref="G5:G7"/>
    <mergeCell ref="G8:G10"/>
    <mergeCell ref="G11:G13"/>
    <mergeCell ref="G14:G16"/>
    <mergeCell ref="N2:N4"/>
    <mergeCell ref="N5:N7"/>
    <mergeCell ref="N8:N10"/>
    <mergeCell ref="N11:N13"/>
    <mergeCell ref="N14:N16"/>
    <mergeCell ref="M2:M4"/>
    <mergeCell ref="M5:M7"/>
    <mergeCell ref="M8:M10"/>
    <mergeCell ref="M11:M13"/>
    <mergeCell ref="M14:M16"/>
    <mergeCell ref="P2:P4"/>
    <mergeCell ref="P5:P7"/>
    <mergeCell ref="P8:P10"/>
    <mergeCell ref="P11:P13"/>
    <mergeCell ref="P14:P16"/>
    <mergeCell ref="O2:O4"/>
    <mergeCell ref="O5:O7"/>
    <mergeCell ref="O8:O10"/>
    <mergeCell ref="O11:O13"/>
    <mergeCell ref="O14:O16"/>
    <mergeCell ref="R2:R4"/>
    <mergeCell ref="R5:R7"/>
    <mergeCell ref="R8:R10"/>
    <mergeCell ref="R11:R13"/>
    <mergeCell ref="R14:R16"/>
    <mergeCell ref="Q2:Q4"/>
    <mergeCell ref="Q5:Q7"/>
    <mergeCell ref="Q8:Q10"/>
    <mergeCell ref="Q11:Q13"/>
    <mergeCell ref="Q14:Q1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7DD2-ECD6-46A8-A0BC-2097FBD5ECDB}">
  <dimension ref="A1:B14"/>
  <sheetViews>
    <sheetView workbookViewId="0">
      <selection sqref="A1:B14"/>
    </sheetView>
  </sheetViews>
  <sheetFormatPr defaultRowHeight="14.4" x14ac:dyDescent="0.3"/>
  <sheetData>
    <row r="1" spans="1:2" x14ac:dyDescent="0.3">
      <c r="A1">
        <v>0</v>
      </c>
      <c r="B1">
        <v>400</v>
      </c>
    </row>
    <row r="2" spans="1:2" x14ac:dyDescent="0.3">
      <c r="A2">
        <v>46.48</v>
      </c>
      <c r="B2">
        <v>380</v>
      </c>
    </row>
    <row r="3" spans="1:2" x14ac:dyDescent="0.3">
      <c r="A3">
        <v>161.63999999999999</v>
      </c>
      <c r="B3">
        <v>350</v>
      </c>
    </row>
    <row r="4" spans="1:2" x14ac:dyDescent="0.3">
      <c r="A4">
        <v>284.39</v>
      </c>
      <c r="B4">
        <v>320</v>
      </c>
    </row>
    <row r="5" spans="1:2" x14ac:dyDescent="0.3">
      <c r="A5">
        <v>371.39</v>
      </c>
      <c r="B5">
        <v>300</v>
      </c>
    </row>
    <row r="6" spans="1:2" x14ac:dyDescent="0.3">
      <c r="A6">
        <v>463.43</v>
      </c>
      <c r="B6">
        <v>280</v>
      </c>
    </row>
    <row r="7" spans="1:2" x14ac:dyDescent="0.3">
      <c r="A7">
        <v>559.46</v>
      </c>
      <c r="B7">
        <v>260</v>
      </c>
    </row>
    <row r="8" spans="1:2" x14ac:dyDescent="0.3">
      <c r="A8">
        <v>661.59</v>
      </c>
      <c r="B8">
        <v>240</v>
      </c>
    </row>
    <row r="9" spans="1:2" x14ac:dyDescent="0.3">
      <c r="A9">
        <v>768.11</v>
      </c>
      <c r="B9">
        <v>220</v>
      </c>
    </row>
    <row r="10" spans="1:2" x14ac:dyDescent="0.3">
      <c r="A10">
        <v>881.79</v>
      </c>
      <c r="B10">
        <v>200</v>
      </c>
    </row>
    <row r="11" spans="1:2" x14ac:dyDescent="0.3">
      <c r="A11">
        <v>1004.96</v>
      </c>
      <c r="B11">
        <v>180</v>
      </c>
    </row>
    <row r="12" spans="1:2" x14ac:dyDescent="0.3">
      <c r="A12">
        <v>1139.69</v>
      </c>
      <c r="B12">
        <v>160</v>
      </c>
    </row>
    <row r="13" spans="1:2" x14ac:dyDescent="0.3">
      <c r="A13">
        <v>1289.8</v>
      </c>
      <c r="B13">
        <v>140</v>
      </c>
    </row>
    <row r="14" spans="1:2" x14ac:dyDescent="0.3">
      <c r="A14">
        <v>1449.14</v>
      </c>
      <c r="B1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B09C-5C5C-410B-8119-76F5B9839004}">
  <dimension ref="A1:N12"/>
  <sheetViews>
    <sheetView tabSelected="1" workbookViewId="0">
      <selection activeCell="G12" sqref="G12"/>
    </sheetView>
  </sheetViews>
  <sheetFormatPr defaultRowHeight="14.4" x14ac:dyDescent="0.3"/>
  <cols>
    <col min="2" max="2" width="11.33203125" customWidth="1"/>
    <col min="3" max="3" width="12.44140625" customWidth="1"/>
    <col min="4" max="4" width="12" customWidth="1"/>
    <col min="12" max="12" width="12.6640625" customWidth="1"/>
    <col min="14" max="14" width="13.21875" bestFit="1" customWidth="1"/>
  </cols>
  <sheetData>
    <row r="1" spans="1:14" x14ac:dyDescent="0.3">
      <c r="A1" t="s">
        <v>0</v>
      </c>
      <c r="B1" t="s">
        <v>64</v>
      </c>
      <c r="C1" t="s">
        <v>69</v>
      </c>
      <c r="D1" t="s">
        <v>67</v>
      </c>
      <c r="E1" t="s">
        <v>65</v>
      </c>
      <c r="F1" t="s">
        <v>68</v>
      </c>
      <c r="G1" t="s">
        <v>71</v>
      </c>
      <c r="H1" t="s">
        <v>72</v>
      </c>
      <c r="I1" t="s">
        <v>73</v>
      </c>
      <c r="J1" t="s">
        <v>74</v>
      </c>
      <c r="K1" t="s">
        <v>66</v>
      </c>
      <c r="L1" t="s">
        <v>70</v>
      </c>
    </row>
    <row r="2" spans="1:14" x14ac:dyDescent="0.3">
      <c r="A2">
        <v>1</v>
      </c>
      <c r="B2">
        <v>14</v>
      </c>
      <c r="C2" s="16">
        <f>B2/180*PI()</f>
        <v>0.24434609527920614</v>
      </c>
      <c r="D2" s="16">
        <f>1/180*PI()</f>
        <v>1.7453292519943295E-2</v>
      </c>
      <c r="E2">
        <v>425.95</v>
      </c>
      <c r="F2">
        <v>0.5</v>
      </c>
      <c r="G2" s="5">
        <f>AVERAGE(E2:E4)</f>
        <v>425.98</v>
      </c>
      <c r="H2" s="5">
        <f>SQRT(_xlfn.VAR.P(E2:E4)/2)</f>
        <v>0.13650396819629687</v>
      </c>
      <c r="I2" s="5">
        <f>F2</f>
        <v>0.5</v>
      </c>
      <c r="J2" s="14">
        <f>SQRT(H2^2+I2^2)</f>
        <v>0.51829849829353702</v>
      </c>
      <c r="K2" s="11">
        <f>C2/G2</f>
        <v>5.736093132992303E-4</v>
      </c>
      <c r="L2" s="11">
        <f>K2*SQRT((D2/C2)^2+(J2/G2)^2)</f>
        <v>4.0978037607481602E-5</v>
      </c>
      <c r="M2">
        <f>L2/K2</f>
        <v>7.1438933534373958E-2</v>
      </c>
      <c r="N2">
        <v>9.4816134266172743E-3</v>
      </c>
    </row>
    <row r="3" spans="1:14" x14ac:dyDescent="0.3">
      <c r="A3">
        <v>2</v>
      </c>
      <c r="B3">
        <v>14</v>
      </c>
      <c r="C3" s="16">
        <f t="shared" ref="C3:C4" si="0">B3/180*PI()</f>
        <v>0.24434609527920614</v>
      </c>
      <c r="D3" s="16">
        <f t="shared" ref="D3:D4" si="1">1/180*PI()</f>
        <v>1.7453292519943295E-2</v>
      </c>
      <c r="E3">
        <v>426.23</v>
      </c>
      <c r="F3">
        <v>0.5</v>
      </c>
      <c r="G3" s="5"/>
      <c r="H3" s="5"/>
      <c r="I3" s="5"/>
      <c r="J3" s="14"/>
      <c r="K3" s="11"/>
      <c r="L3" s="11"/>
    </row>
    <row r="4" spans="1:14" x14ac:dyDescent="0.3">
      <c r="A4">
        <v>3</v>
      </c>
      <c r="B4">
        <v>14</v>
      </c>
      <c r="C4" s="16">
        <f t="shared" si="0"/>
        <v>0.24434609527920614</v>
      </c>
      <c r="D4" s="16">
        <f t="shared" si="1"/>
        <v>1.7453292519943295E-2</v>
      </c>
      <c r="E4">
        <v>425.76</v>
      </c>
      <c r="F4">
        <v>0.5</v>
      </c>
      <c r="G4" s="5"/>
      <c r="H4" s="5"/>
      <c r="I4" s="5"/>
      <c r="J4" s="14"/>
      <c r="K4" s="11"/>
      <c r="L4" s="11"/>
    </row>
    <row r="10" spans="1:14" x14ac:dyDescent="0.3">
      <c r="M10" s="18">
        <f>K2/K12</f>
        <v>1.115040042328204E-3</v>
      </c>
      <c r="N10" s="18">
        <f>M10*SQRT(M2^2+N2^2)</f>
        <v>8.0355809300924655E-5</v>
      </c>
    </row>
    <row r="12" spans="1:14" x14ac:dyDescent="0.3">
      <c r="K12">
        <v>0.51442934022488906</v>
      </c>
    </row>
  </sheetData>
  <mergeCells count="6">
    <mergeCell ref="G2:G4"/>
    <mergeCell ref="H2:H4"/>
    <mergeCell ref="I2:I4"/>
    <mergeCell ref="J2:J4"/>
    <mergeCell ref="K2:K4"/>
    <mergeCell ref="L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59E2-A948-4F2F-B7B8-89C8D22264BB}">
  <dimension ref="A1:L20"/>
  <sheetViews>
    <sheetView topLeftCell="A10" workbookViewId="0">
      <selection activeCell="C20" sqref="C20"/>
    </sheetView>
  </sheetViews>
  <sheetFormatPr defaultRowHeight="14.4" x14ac:dyDescent="0.3"/>
  <cols>
    <col min="1" max="5" width="15.44140625" style="2" customWidth="1"/>
    <col min="6" max="6" width="24.6640625" style="2" customWidth="1"/>
    <col min="7" max="9" width="15.44140625" style="2" customWidth="1"/>
  </cols>
  <sheetData>
    <row r="1" spans="1:12" ht="28.8" customHeight="1" x14ac:dyDescent="0.3">
      <c r="A1" s="7" t="s">
        <v>18</v>
      </c>
      <c r="B1" s="7"/>
      <c r="C1" s="7"/>
      <c r="D1" s="7"/>
      <c r="E1" s="7"/>
      <c r="F1" s="7"/>
      <c r="G1" s="7"/>
      <c r="H1" s="7"/>
      <c r="I1" s="7"/>
      <c r="L1">
        <v>0.5</v>
      </c>
    </row>
    <row r="2" spans="1:12" s="3" customFormat="1" ht="28.8" customHeight="1" x14ac:dyDescent="0.3">
      <c r="A2" s="4" t="s">
        <v>0</v>
      </c>
      <c r="B2" s="4" t="s">
        <v>19</v>
      </c>
      <c r="C2" s="4" t="s">
        <v>20</v>
      </c>
      <c r="D2" s="4" t="s">
        <v>21</v>
      </c>
      <c r="E2" s="4" t="s">
        <v>24</v>
      </c>
      <c r="F2" s="4" t="s">
        <v>23</v>
      </c>
      <c r="G2" s="4" t="s">
        <v>22</v>
      </c>
      <c r="H2" s="4" t="s">
        <v>25</v>
      </c>
      <c r="I2" s="4" t="s">
        <v>26</v>
      </c>
    </row>
    <row r="3" spans="1:12" s="3" customFormat="1" x14ac:dyDescent="0.3">
      <c r="A3" s="4">
        <v>1</v>
      </c>
      <c r="B3" s="4">
        <v>81</v>
      </c>
      <c r="C3" s="4">
        <v>20</v>
      </c>
      <c r="D3" s="4">
        <f>B3/C3</f>
        <v>4.05</v>
      </c>
      <c r="E3" s="7">
        <f>AVERAGE(D3:D5)</f>
        <v>4.0416666666666661</v>
      </c>
      <c r="F3" s="7">
        <f>SQRT(_xlfn.VAR.P(D3:D5)/2)</f>
        <v>6.0092521257734746E-3</v>
      </c>
      <c r="G3" s="7">
        <f>$L$1/C3</f>
        <v>2.5000000000000001E-2</v>
      </c>
      <c r="H3" s="7">
        <f>SQRT(F3^2+G3^2)</f>
        <v>2.5712081034235893E-2</v>
      </c>
      <c r="I3" s="7">
        <f>H3/E3</f>
        <v>6.3617520084707372E-3</v>
      </c>
    </row>
    <row r="4" spans="1:12" s="3" customFormat="1" x14ac:dyDescent="0.3">
      <c r="A4" s="4">
        <v>2</v>
      </c>
      <c r="B4" s="4">
        <v>80.599999999999994</v>
      </c>
      <c r="C4" s="4">
        <v>20</v>
      </c>
      <c r="D4" s="4">
        <f t="shared" ref="D4:D5" si="0">B4/C4</f>
        <v>4.0299999999999994</v>
      </c>
      <c r="E4" s="7"/>
      <c r="F4" s="7"/>
      <c r="G4" s="7"/>
      <c r="H4" s="7"/>
      <c r="I4" s="7"/>
    </row>
    <row r="5" spans="1:12" s="3" customFormat="1" x14ac:dyDescent="0.3">
      <c r="A5" s="4">
        <v>3</v>
      </c>
      <c r="B5" s="4">
        <v>80.900000000000006</v>
      </c>
      <c r="C5" s="4">
        <v>20</v>
      </c>
      <c r="D5" s="4">
        <f t="shared" si="0"/>
        <v>4.0449999999999999</v>
      </c>
      <c r="E5" s="7"/>
      <c r="F5" s="7"/>
      <c r="G5" s="7"/>
      <c r="H5" s="7"/>
      <c r="I5" s="7"/>
    </row>
    <row r="7" spans="1:12" ht="24" customHeight="1" x14ac:dyDescent="0.3">
      <c r="A7" s="7" t="s">
        <v>38</v>
      </c>
      <c r="B7" s="7"/>
      <c r="C7" s="7"/>
      <c r="D7" s="7"/>
      <c r="E7" s="7"/>
      <c r="F7" s="7"/>
      <c r="G7" s="7"/>
    </row>
    <row r="8" spans="1:12" ht="28.8" x14ac:dyDescent="0.3">
      <c r="A8" s="4" t="s">
        <v>28</v>
      </c>
      <c r="B8" s="4" t="s">
        <v>29</v>
      </c>
      <c r="C8" s="4" t="s">
        <v>31</v>
      </c>
      <c r="D8" s="4" t="s">
        <v>30</v>
      </c>
      <c r="E8" s="4" t="s">
        <v>32</v>
      </c>
      <c r="F8" s="4" t="s">
        <v>33</v>
      </c>
      <c r="G8" s="4" t="s">
        <v>34</v>
      </c>
    </row>
    <row r="9" spans="1:12" x14ac:dyDescent="0.3">
      <c r="A9" s="4">
        <v>1.6177999999999999</v>
      </c>
      <c r="B9" s="4">
        <v>1E-3</v>
      </c>
      <c r="C9" s="4">
        <f>78.1/1000</f>
        <v>7.8099999999999989E-2</v>
      </c>
      <c r="D9" s="4">
        <f>0.1/100</f>
        <v>1E-3</v>
      </c>
      <c r="E9" s="4">
        <f>0.5*A9*(C9/2)^2</f>
        <v>1.2334936322499995E-3</v>
      </c>
      <c r="F9" s="9">
        <f>E9*SQRT((B9/A9)^2+4*(D9/C9)^2)</f>
        <v>3.1596745576651579E-5</v>
      </c>
      <c r="G9" s="4">
        <f>F9/E9</f>
        <v>2.5615653579837597E-2</v>
      </c>
      <c r="I9" s="2">
        <f>G9*100</f>
        <v>2.5615653579837598</v>
      </c>
    </row>
    <row r="10" spans="1:12" ht="28.8" customHeight="1" x14ac:dyDescent="0.3"/>
    <row r="11" spans="1:12" ht="28.8" customHeight="1" x14ac:dyDescent="0.3">
      <c r="A11" s="7" t="s">
        <v>27</v>
      </c>
      <c r="B11" s="7"/>
      <c r="C11" s="7"/>
      <c r="D11" s="7"/>
      <c r="E11" s="7"/>
      <c r="F11" s="7"/>
      <c r="G11" s="7"/>
      <c r="H11" s="7"/>
      <c r="I11" s="7"/>
    </row>
    <row r="12" spans="1:12" ht="28.8" x14ac:dyDescent="0.3">
      <c r="A12" s="4" t="s">
        <v>0</v>
      </c>
      <c r="B12" s="4" t="s">
        <v>19</v>
      </c>
      <c r="C12" s="4" t="s">
        <v>20</v>
      </c>
      <c r="D12" s="4" t="s">
        <v>21</v>
      </c>
      <c r="E12" s="4" t="s">
        <v>24</v>
      </c>
      <c r="F12" s="4" t="s">
        <v>23</v>
      </c>
      <c r="G12" s="4" t="s">
        <v>22</v>
      </c>
      <c r="H12" s="4" t="s">
        <v>25</v>
      </c>
      <c r="I12" s="4" t="s">
        <v>26</v>
      </c>
    </row>
    <row r="13" spans="1:12" x14ac:dyDescent="0.3">
      <c r="A13" s="4">
        <v>1</v>
      </c>
      <c r="B13" s="4">
        <v>60.55</v>
      </c>
      <c r="C13" s="4">
        <v>19</v>
      </c>
      <c r="D13" s="4">
        <f>B13/C13</f>
        <v>3.1868421052631577</v>
      </c>
      <c r="E13" s="7">
        <f>AVERAGE(D13:D15)</f>
        <v>3.2151140350877192</v>
      </c>
      <c r="F13" s="7">
        <f>SQRT(_xlfn.VAR.P(D13:D15)/2)</f>
        <v>2.0514539656901067E-2</v>
      </c>
      <c r="G13" s="7">
        <f>$L$1/C13</f>
        <v>2.6315789473684209E-2</v>
      </c>
      <c r="H13" s="7">
        <f>SQRT(F13^2+G13^2)</f>
        <v>3.3367156201238292E-2</v>
      </c>
      <c r="I13" s="7">
        <f>H13/E13</f>
        <v>1.037821857548139E-2</v>
      </c>
    </row>
    <row r="14" spans="1:12" x14ac:dyDescent="0.3">
      <c r="A14" s="4">
        <v>2</v>
      </c>
      <c r="B14" s="4">
        <v>65.099999999999994</v>
      </c>
      <c r="C14" s="4">
        <v>20</v>
      </c>
      <c r="D14" s="4">
        <f t="shared" ref="D14:D15" si="1">B14/C14</f>
        <v>3.2549999999999999</v>
      </c>
      <c r="E14" s="7"/>
      <c r="F14" s="7"/>
      <c r="G14" s="7"/>
      <c r="H14" s="7"/>
      <c r="I14" s="7"/>
    </row>
    <row r="15" spans="1:12" x14ac:dyDescent="0.3">
      <c r="A15" s="4">
        <v>3</v>
      </c>
      <c r="B15" s="4">
        <v>64.069999999999993</v>
      </c>
      <c r="C15" s="4">
        <v>20</v>
      </c>
      <c r="D15" s="4">
        <f t="shared" si="1"/>
        <v>3.2034999999999996</v>
      </c>
      <c r="E15" s="7"/>
      <c r="F15" s="7"/>
      <c r="G15" s="7"/>
      <c r="H15" s="7"/>
      <c r="I15" s="7"/>
    </row>
    <row r="18" spans="1:9" ht="17.399999999999999" customHeight="1" x14ac:dyDescent="0.3">
      <c r="A18" s="8" t="s">
        <v>35</v>
      </c>
      <c r="B18" s="8"/>
      <c r="C18" s="8"/>
      <c r="D18" s="8"/>
      <c r="E18" s="8"/>
      <c r="F18" s="8"/>
      <c r="G18" s="8"/>
      <c r="H18" s="8"/>
      <c r="I18" s="8"/>
    </row>
    <row r="19" spans="1:9" x14ac:dyDescent="0.3">
      <c r="A19" s="2" t="s">
        <v>36</v>
      </c>
      <c r="B19" s="2" t="s">
        <v>37</v>
      </c>
      <c r="C19" s="2" t="s">
        <v>39</v>
      </c>
    </row>
    <row r="20" spans="1:9" x14ac:dyDescent="0.3">
      <c r="A20" s="2">
        <f>E9*(E13/E3)^2</f>
        <v>7.8056430872265831E-4</v>
      </c>
      <c r="B20" s="10">
        <f>A20*SQRT(4*I3^2+4*I13^2+G9^2)</f>
        <v>2.7584737873719786E-5</v>
      </c>
      <c r="C20" s="2">
        <f>B20/A20</f>
        <v>3.5339481405267402E-2</v>
      </c>
      <c r="E20" s="2">
        <f>C20*100</f>
        <v>3.5339481405267401</v>
      </c>
    </row>
  </sheetData>
  <mergeCells count="14">
    <mergeCell ref="I13:I15"/>
    <mergeCell ref="A1:I1"/>
    <mergeCell ref="A18:I18"/>
    <mergeCell ref="A7:G7"/>
    <mergeCell ref="A11:I11"/>
    <mergeCell ref="E13:E15"/>
    <mergeCell ref="F13:F15"/>
    <mergeCell ref="G13:G15"/>
    <mergeCell ref="H13:H15"/>
    <mergeCell ref="E3:E5"/>
    <mergeCell ref="F3:F5"/>
    <mergeCell ref="G3:G5"/>
    <mergeCell ref="H3:H5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2020-10-24T19:02:23Z</dcterms:modified>
</cp:coreProperties>
</file>