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уф\МФТИ\Лабораторки\1.2.5\"/>
    </mc:Choice>
  </mc:AlternateContent>
  <xr:revisionPtr revIDLastSave="0" documentId="13_ncr:1_{BD441D60-232B-4391-8B06-A958D0EE7743}" xr6:coauthVersionLast="38" xr6:coauthVersionMax="38" xr10:uidLastSave="{00000000-0000-0000-0000-000000000000}"/>
  <bookViews>
    <workbookView xWindow="0" yWindow="0" windowWidth="23040" windowHeight="9000" xr2:uid="{18950CE0-CDA9-40F9-9092-109C62A523D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H8" i="1" s="1"/>
  <c r="AI9" i="1"/>
  <c r="AH9" i="1"/>
  <c r="AH5" i="1"/>
  <c r="AH4" i="1"/>
  <c r="AH6" i="1"/>
  <c r="AH7" i="1"/>
  <c r="AJ5" i="1"/>
  <c r="AJ6" i="1"/>
  <c r="AJ7" i="1"/>
  <c r="AJ8" i="1"/>
  <c r="AJ9" i="1"/>
  <c r="AJ4" i="1"/>
  <c r="AG8" i="1"/>
  <c r="AN5" i="1"/>
  <c r="AN6" i="1"/>
  <c r="AN7" i="1"/>
  <c r="AN8" i="1"/>
  <c r="AN9" i="1"/>
  <c r="AM9" i="1"/>
  <c r="AM8" i="1"/>
  <c r="AM7" i="1"/>
  <c r="AM6" i="1"/>
  <c r="AM5" i="1"/>
  <c r="AM4" i="1"/>
  <c r="AN4" i="1"/>
  <c r="AL4" i="1"/>
  <c r="AL5" i="1"/>
  <c r="AL6" i="1"/>
  <c r="AL7" i="1"/>
  <c r="AL8" i="1"/>
  <c r="AL9" i="1"/>
  <c r="AK9" i="1"/>
  <c r="AK8" i="1"/>
  <c r="AK7" i="1"/>
  <c r="AK6" i="1"/>
  <c r="AK5" i="1"/>
  <c r="AK4" i="1"/>
  <c r="AE15" i="1"/>
  <c r="AE16" i="1"/>
  <c r="AE17" i="1"/>
  <c r="AE18" i="1"/>
  <c r="AC19" i="1"/>
  <c r="AE14" i="1" s="1"/>
  <c r="AD19" i="1" s="1"/>
  <c r="H28" i="1"/>
  <c r="H27" i="1"/>
  <c r="H26" i="1"/>
  <c r="H25" i="1"/>
  <c r="H24" i="1"/>
  <c r="H23" i="1"/>
  <c r="F24" i="1"/>
  <c r="F25" i="1"/>
  <c r="F26" i="1"/>
  <c r="F27" i="1"/>
  <c r="F28" i="1"/>
  <c r="F23" i="1"/>
  <c r="L12" i="1"/>
  <c r="Y19" i="1"/>
  <c r="Z19" i="1" s="1"/>
  <c r="Y18" i="1"/>
  <c r="Z18" i="1" s="1"/>
  <c r="Y17" i="1"/>
  <c r="Y16" i="1"/>
  <c r="Y15" i="1"/>
  <c r="Z15" i="1" s="1"/>
  <c r="Y14" i="1"/>
  <c r="Y9" i="1"/>
  <c r="Z9" i="1" s="1"/>
  <c r="Y8" i="1"/>
  <c r="Y7" i="1"/>
  <c r="Y6" i="1"/>
  <c r="Z6" i="1" s="1"/>
  <c r="Y5" i="1"/>
  <c r="Z5" i="1" s="1"/>
  <c r="Y4" i="1"/>
  <c r="Z4" i="1" s="1"/>
  <c r="P19" i="1"/>
  <c r="Q19" i="1" s="1"/>
  <c r="P18" i="1"/>
  <c r="Q18" i="1" s="1"/>
  <c r="P17" i="1"/>
  <c r="P16" i="1"/>
  <c r="P15" i="1"/>
  <c r="Q15" i="1" s="1"/>
  <c r="P14" i="1"/>
  <c r="P9" i="1"/>
  <c r="Q9" i="1" s="1"/>
  <c r="P8" i="1"/>
  <c r="Q8" i="1" s="1"/>
  <c r="P7" i="1"/>
  <c r="P6" i="1"/>
  <c r="P5" i="1"/>
  <c r="Q5" i="1" s="1"/>
  <c r="P4" i="1"/>
  <c r="G15" i="1"/>
  <c r="G16" i="1"/>
  <c r="H16" i="1" s="1"/>
  <c r="G17" i="1"/>
  <c r="G18" i="1"/>
  <c r="G19" i="1"/>
  <c r="G14" i="1"/>
  <c r="H14" i="1" s="1"/>
  <c r="Z17" i="1"/>
  <c r="Z16" i="1"/>
  <c r="Z14" i="1"/>
  <c r="Z8" i="1"/>
  <c r="Z7" i="1"/>
  <c r="Q17" i="1"/>
  <c r="Q16" i="1"/>
  <c r="Q14" i="1"/>
  <c r="Q7" i="1"/>
  <c r="Q6" i="1"/>
  <c r="Q4" i="1"/>
  <c r="H18" i="1"/>
  <c r="H17" i="1"/>
  <c r="H15" i="1"/>
  <c r="H5" i="1"/>
  <c r="H6" i="1"/>
  <c r="H7" i="1"/>
  <c r="H8" i="1"/>
  <c r="H9" i="1"/>
  <c r="H4" i="1"/>
  <c r="F12" i="1"/>
  <c r="C12" i="1"/>
  <c r="O12" i="1"/>
  <c r="X12" i="1"/>
  <c r="U12" i="1"/>
  <c r="X2" i="1"/>
  <c r="U2" i="1"/>
  <c r="L2" i="1"/>
  <c r="O2" i="1"/>
  <c r="F2" i="1"/>
  <c r="X19" i="1"/>
  <c r="X18" i="1"/>
  <c r="X17" i="1"/>
  <c r="X16" i="1"/>
  <c r="X15" i="1"/>
  <c r="X14" i="1"/>
  <c r="X9" i="1"/>
  <c r="X8" i="1"/>
  <c r="X7" i="1"/>
  <c r="X6" i="1"/>
  <c r="X5" i="1"/>
  <c r="X4" i="1"/>
  <c r="F19" i="1"/>
  <c r="F18" i="1"/>
  <c r="F17" i="1"/>
  <c r="F16" i="1"/>
  <c r="F15" i="1"/>
  <c r="F14" i="1"/>
  <c r="O19" i="1"/>
  <c r="O18" i="1"/>
  <c r="O17" i="1"/>
  <c r="O16" i="1"/>
  <c r="O15" i="1"/>
  <c r="O14" i="1"/>
  <c r="O9" i="1"/>
  <c r="O8" i="1"/>
  <c r="O7" i="1"/>
  <c r="O6" i="1"/>
  <c r="O5" i="1"/>
  <c r="O4" i="1"/>
  <c r="F5" i="1"/>
  <c r="F6" i="1"/>
  <c r="F7" i="1"/>
  <c r="F8" i="1"/>
  <c r="F9" i="1"/>
  <c r="F4" i="1"/>
  <c r="C9" i="1"/>
  <c r="G9" i="1" s="1"/>
  <c r="C19" i="1"/>
  <c r="P11" i="1"/>
  <c r="E26" i="1"/>
  <c r="G11" i="1"/>
  <c r="E24" i="1" s="1"/>
  <c r="Y11" i="1"/>
  <c r="E28" i="1"/>
  <c r="Y1" i="1"/>
  <c r="E27" i="1" s="1"/>
  <c r="P1" i="1"/>
  <c r="E25" i="1" s="1"/>
  <c r="G1" i="1"/>
  <c r="E23" i="1" s="1"/>
  <c r="G5" i="1"/>
  <c r="G6" i="1"/>
  <c r="G7" i="1"/>
  <c r="G8" i="1"/>
  <c r="G4" i="1"/>
  <c r="I23" i="1" l="1"/>
  <c r="I26" i="1"/>
  <c r="I24" i="1"/>
  <c r="I28" i="1"/>
  <c r="I27" i="1"/>
  <c r="P23" i="1"/>
  <c r="I25" i="1"/>
  <c r="AF8" i="1"/>
  <c r="AG1" i="1"/>
  <c r="AD1" i="1"/>
  <c r="L19" i="1"/>
  <c r="U19" i="1"/>
  <c r="U9" i="1"/>
  <c r="L9" i="1"/>
  <c r="E18" i="1"/>
  <c r="E17" i="1"/>
  <c r="E16" i="1"/>
  <c r="E15" i="1"/>
  <c r="E14" i="1"/>
  <c r="N18" i="1"/>
  <c r="N17" i="1"/>
  <c r="N16" i="1"/>
  <c r="N15" i="1"/>
  <c r="N14" i="1"/>
  <c r="W18" i="1"/>
  <c r="W17" i="1"/>
  <c r="W16" i="1"/>
  <c r="W15" i="1"/>
  <c r="W14" i="1"/>
  <c r="W8" i="1"/>
  <c r="W7" i="1"/>
  <c r="W6" i="1"/>
  <c r="W5" i="1"/>
  <c r="W4" i="1"/>
  <c r="N8" i="1"/>
  <c r="N7" i="1"/>
  <c r="N6" i="1"/>
  <c r="N5" i="1"/>
  <c r="N4" i="1"/>
  <c r="E5" i="1"/>
  <c r="E6" i="1"/>
  <c r="E7" i="1"/>
  <c r="E8" i="1"/>
  <c r="E4" i="1"/>
  <c r="W19" i="1" l="1"/>
  <c r="G28" i="1" s="1"/>
  <c r="K28" i="1" s="1"/>
  <c r="L28" i="1"/>
  <c r="N19" i="1"/>
  <c r="G26" i="1" s="1"/>
  <c r="H19" i="1"/>
  <c r="E19" i="1"/>
  <c r="G24" i="1" s="1"/>
  <c r="P24" i="1"/>
  <c r="W9" i="1"/>
  <c r="G27" i="1" s="1"/>
  <c r="N9" i="1"/>
  <c r="G25" i="1" s="1"/>
  <c r="E9" i="1"/>
  <c r="G23" i="1" s="1"/>
  <c r="K26" i="1" l="1"/>
  <c r="L26" i="1"/>
  <c r="K23" i="1"/>
  <c r="P25" i="1"/>
  <c r="L23" i="1"/>
  <c r="K27" i="1"/>
  <c r="L27" i="1"/>
  <c r="K24" i="1"/>
  <c r="L24" i="1"/>
  <c r="K25" i="1"/>
  <c r="L25" i="1"/>
  <c r="P27" i="1" l="1"/>
  <c r="P26" i="1"/>
  <c r="U23" i="1" l="1"/>
  <c r="W23" i="1" s="1"/>
  <c r="W24" i="1" l="1"/>
  <c r="Y23" i="1"/>
  <c r="AF9" i="1"/>
  <c r="AF10" i="1" s="1"/>
  <c r="U24" i="1"/>
  <c r="Y24" i="1" l="1"/>
</calcChain>
</file>

<file path=xl/sharedStrings.xml><?xml version="1.0" encoding="utf-8"?>
<sst xmlns="http://schemas.openxmlformats.org/spreadsheetml/2006/main" count="113" uniqueCount="43">
  <si>
    <t>M, g</t>
  </si>
  <si>
    <t>N</t>
  </si>
  <si>
    <t>t</t>
  </si>
  <si>
    <t>v</t>
  </si>
  <si>
    <t>121мм</t>
  </si>
  <si>
    <t>l</t>
  </si>
  <si>
    <t>M, кг</t>
  </si>
  <si>
    <t>M, Н*м</t>
  </si>
  <si>
    <t>R, м</t>
  </si>
  <si>
    <t>I</t>
  </si>
  <si>
    <t>sigma0</t>
  </si>
  <si>
    <t>M/Sigma</t>
  </si>
  <si>
    <t>M</t>
  </si>
  <si>
    <t>sigma</t>
  </si>
  <si>
    <t>M^2</t>
  </si>
  <si>
    <t>sigma^2</t>
  </si>
  <si>
    <t>Msigma</t>
  </si>
  <si>
    <t>k</t>
  </si>
  <si>
    <t>epsilon</t>
  </si>
  <si>
    <t>sigma t</t>
  </si>
  <si>
    <t>omega</t>
  </si>
  <si>
    <t>0mega</t>
  </si>
  <si>
    <t>sigma omega</t>
  </si>
  <si>
    <t>M, Н \cdot м</t>
  </si>
  <si>
    <t>Среднее</t>
  </si>
  <si>
    <t>sigma v</t>
  </si>
  <si>
    <t>sigma M</t>
  </si>
  <si>
    <t>$t, c$</t>
  </si>
  <si>
    <t>$\sigma_t, c$</t>
  </si>
  <si>
    <t>$T = 4,146*0,016$</t>
  </si>
  <si>
    <t>$M, kg$</t>
  </si>
  <si>
    <t>$\sigma_M, kg$</t>
  </si>
  <si>
    <t>$R, kg$</t>
  </si>
  <si>
    <t>$\sigma_R, m$</t>
  </si>
  <si>
    <t>$I, kg \cdot m^2$</t>
  </si>
  <si>
    <t>$\sigma_I, kg \cdot m^2$</t>
  </si>
  <si>
    <t>Параметры цилиндра</t>
  </si>
  <si>
    <t>\Omega_{down}</t>
  </si>
  <si>
    <t>\omega_0</t>
  </si>
  <si>
    <t>\sigma_omega</t>
  </si>
  <si>
    <t>\sigma_{Omega}</t>
  </si>
  <si>
    <t>MFtr</t>
  </si>
  <si>
    <t>\sigma_MFtr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</si>
</sst>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E852-6013-40DD-847A-8A9B7C0AE4EA}">
  <dimension ref="A1:AN28"/>
  <sheetViews>
    <sheetView tabSelected="1" workbookViewId="0">
      <selection activeCell="AM11" sqref="AM11"/>
    </sheetView>
  </sheetViews>
  <sheetFormatPr defaultRowHeight="14.4" x14ac:dyDescent="0.3"/>
  <cols>
    <col min="1" max="1" width="9.109375" customWidth="1"/>
    <col min="5" max="5" width="12" customWidth="1"/>
    <col min="6" max="6" width="12" bestFit="1" customWidth="1"/>
    <col min="7" max="7" width="15.21875" customWidth="1"/>
    <col min="8" max="8" width="18.6640625" customWidth="1"/>
    <col min="14" max="14" width="13.21875" customWidth="1"/>
    <col min="15" max="15" width="14.109375" customWidth="1"/>
    <col min="16" max="16" width="14.88671875" customWidth="1"/>
    <col min="23" max="23" width="11.77734375" customWidth="1"/>
    <col min="24" max="24" width="13.88671875" customWidth="1"/>
    <col min="25" max="25" width="19" customWidth="1"/>
    <col min="30" max="30" width="13.88671875" customWidth="1"/>
    <col min="32" max="32" width="13.21875" customWidth="1"/>
    <col min="33" max="33" width="17.6640625" customWidth="1"/>
    <col min="34" max="34" width="24.5546875" customWidth="1"/>
    <col min="35" max="35" width="15.5546875" customWidth="1"/>
    <col min="36" max="36" width="23.109375" customWidth="1"/>
    <col min="38" max="38" width="16.109375" customWidth="1"/>
    <col min="39" max="39" width="15.77734375" customWidth="1"/>
    <col min="40" max="40" width="16.33203125" customWidth="1"/>
  </cols>
  <sheetData>
    <row r="1" spans="1:40" x14ac:dyDescent="0.3">
      <c r="B1" t="s">
        <v>0</v>
      </c>
      <c r="C1">
        <v>180</v>
      </c>
      <c r="E1" t="s">
        <v>7</v>
      </c>
      <c r="G1">
        <f>C1*9.8/1000*121/1000</f>
        <v>0.21344400000000002</v>
      </c>
      <c r="K1" t="s">
        <v>0</v>
      </c>
      <c r="L1">
        <v>614</v>
      </c>
      <c r="N1" t="s">
        <v>7</v>
      </c>
      <c r="P1">
        <f>L1*9.8/1000*110/1000</f>
        <v>0.66189200000000004</v>
      </c>
      <c r="T1" t="s">
        <v>0</v>
      </c>
      <c r="U1">
        <v>273</v>
      </c>
      <c r="W1" t="s">
        <v>7</v>
      </c>
      <c r="Y1">
        <f>U1*9.8/1000*121/1000</f>
        <v>0.32372340000000005</v>
      </c>
      <c r="AB1">
        <v>10</v>
      </c>
      <c r="AC1">
        <v>32.03</v>
      </c>
      <c r="AD1">
        <f>AVERAGE(AC1:AC5)</f>
        <v>32.245999999999995</v>
      </c>
      <c r="AE1">
        <v>10</v>
      </c>
      <c r="AF1">
        <v>42.16</v>
      </c>
      <c r="AG1">
        <f>AVERAGE(AF1:AF5)</f>
        <v>41.462000000000003</v>
      </c>
    </row>
    <row r="2" spans="1:40" x14ac:dyDescent="0.3">
      <c r="A2" s="1"/>
      <c r="B2" s="1" t="s">
        <v>0</v>
      </c>
      <c r="C2" s="2">
        <v>180</v>
      </c>
      <c r="D2" s="2"/>
      <c r="E2" t="s">
        <v>23</v>
      </c>
      <c r="F2" s="2">
        <f>G1</f>
        <v>0.21344400000000002</v>
      </c>
      <c r="G2" s="2"/>
      <c r="H2" s="1"/>
      <c r="K2" s="1" t="s">
        <v>0</v>
      </c>
      <c r="L2" s="2">
        <f>L1</f>
        <v>614</v>
      </c>
      <c r="M2" s="2"/>
      <c r="N2" t="s">
        <v>23</v>
      </c>
      <c r="O2" s="2">
        <f>P1</f>
        <v>0.66189200000000004</v>
      </c>
      <c r="P2" s="2"/>
      <c r="T2" s="1" t="s">
        <v>0</v>
      </c>
      <c r="U2" s="2">
        <f>U1</f>
        <v>273</v>
      </c>
      <c r="V2" s="2"/>
      <c r="W2" t="s">
        <v>23</v>
      </c>
      <c r="X2" s="2">
        <f>Y1</f>
        <v>0.32372340000000005</v>
      </c>
      <c r="Y2" s="2"/>
      <c r="AB2">
        <v>10</v>
      </c>
      <c r="AC2">
        <v>32.47</v>
      </c>
      <c r="AE2">
        <v>10</v>
      </c>
      <c r="AF2">
        <v>41.28</v>
      </c>
    </row>
    <row r="3" spans="1:40" x14ac:dyDescent="0.3">
      <c r="B3" t="s">
        <v>1</v>
      </c>
      <c r="C3" t="s">
        <v>2</v>
      </c>
      <c r="D3" t="s">
        <v>19</v>
      </c>
      <c r="E3" t="s">
        <v>20</v>
      </c>
      <c r="F3" t="s">
        <v>22</v>
      </c>
      <c r="G3" t="s">
        <v>3</v>
      </c>
      <c r="H3" t="s">
        <v>25</v>
      </c>
      <c r="K3" t="s">
        <v>1</v>
      </c>
      <c r="L3" t="s">
        <v>2</v>
      </c>
      <c r="M3" t="s">
        <v>19</v>
      </c>
      <c r="N3" t="s">
        <v>21</v>
      </c>
      <c r="O3" t="s">
        <v>22</v>
      </c>
      <c r="P3" t="s">
        <v>3</v>
      </c>
      <c r="Q3" t="s">
        <v>25</v>
      </c>
      <c r="T3" t="s">
        <v>1</v>
      </c>
      <c r="U3" t="s">
        <v>2</v>
      </c>
      <c r="V3" t="s">
        <v>19</v>
      </c>
      <c r="W3" t="s">
        <v>20</v>
      </c>
      <c r="X3" t="s">
        <v>22</v>
      </c>
      <c r="Y3" t="s">
        <v>3</v>
      </c>
      <c r="Z3" t="s">
        <v>25</v>
      </c>
      <c r="AB3">
        <v>10</v>
      </c>
      <c r="AC3">
        <v>32.68</v>
      </c>
      <c r="AD3">
        <v>3.2246000000000001</v>
      </c>
      <c r="AE3">
        <v>10</v>
      </c>
      <c r="AF3">
        <v>41.28</v>
      </c>
      <c r="AG3">
        <v>4.1462000000000003</v>
      </c>
      <c r="AI3" t="s">
        <v>42</v>
      </c>
      <c r="AJ3" t="s">
        <v>41</v>
      </c>
      <c r="AK3" t="s">
        <v>38</v>
      </c>
      <c r="AL3" t="s">
        <v>39</v>
      </c>
      <c r="AM3" t="s">
        <v>37</v>
      </c>
      <c r="AN3" t="s">
        <v>40</v>
      </c>
    </row>
    <row r="4" spans="1:40" x14ac:dyDescent="0.3">
      <c r="A4">
        <v>1</v>
      </c>
      <c r="B4">
        <v>4</v>
      </c>
      <c r="C4">
        <v>267.5</v>
      </c>
      <c r="D4">
        <v>0.1</v>
      </c>
      <c r="E4">
        <f>2*3.14*B4/C4</f>
        <v>9.3906542056074765E-2</v>
      </c>
      <c r="F4">
        <f>E4/C4*D4</f>
        <v>3.5105249366756923E-5</v>
      </c>
      <c r="G4">
        <f t="shared" ref="G4:G9" si="0">2*121*3.14*6/180/C4/1000</f>
        <v>9.4689096573208714E-5</v>
      </c>
      <c r="H4">
        <f>G4*SQRT((D4/C4)*(D4/C4)+6.8*10^(-7))</f>
        <v>8.5731562238544544E-8</v>
      </c>
      <c r="J4">
        <v>1</v>
      </c>
      <c r="K4">
        <v>6</v>
      </c>
      <c r="L4">
        <v>133</v>
      </c>
      <c r="M4">
        <v>0.1</v>
      </c>
      <c r="N4">
        <f>2*3.14*K4/L4</f>
        <v>0.28330827067669173</v>
      </c>
      <c r="O4">
        <f>N4/L4*M4</f>
        <v>2.1301373735089607E-4</v>
      </c>
      <c r="P4">
        <f>2*121*3.14*6/180/L4/1000</f>
        <v>1.9044611528822052E-4</v>
      </c>
      <c r="Q4">
        <f>P4*SQRT((M4/L4)*(M4/L4)+6.8*10^(-7))</f>
        <v>2.1252652310016935E-7</v>
      </c>
      <c r="S4">
        <v>1</v>
      </c>
      <c r="T4">
        <v>4</v>
      </c>
      <c r="U4">
        <v>175.2</v>
      </c>
      <c r="V4">
        <v>0.1</v>
      </c>
      <c r="W4">
        <f>2*3.14*T4/U4</f>
        <v>0.14337899543378996</v>
      </c>
      <c r="X4">
        <f>W4/U4*V4</f>
        <v>8.1837326160839028E-5</v>
      </c>
      <c r="Y4">
        <f>2*121*3.14*6/180/U4/1000</f>
        <v>1.4457382039573821E-4</v>
      </c>
      <c r="Z4">
        <f>Y4*SQRT((V4/U4)*(V4/U4)+6.8*10^(-7))</f>
        <v>1.4499143561757833E-7</v>
      </c>
      <c r="AB4">
        <v>10</v>
      </c>
      <c r="AC4">
        <v>31.83</v>
      </c>
      <c r="AE4">
        <v>10</v>
      </c>
      <c r="AF4">
        <v>41.28</v>
      </c>
      <c r="AH4">
        <f>AI4/AJ4</f>
        <v>0.10029274371620581</v>
      </c>
      <c r="AI4">
        <f>AJ4*SQRT((AL4/AK4)*(AL4/AK4)+(AN4/AM4)*(AN4/AM4) + ($AG$8/$AF$8)*($AG$8/$AF$8))</f>
        <v>5.6967651768091206E-8</v>
      </c>
      <c r="AJ4">
        <f>AK4*AM4*$AF$8</f>
        <v>5.6801369328662697E-7</v>
      </c>
      <c r="AK4">
        <f>E9</f>
        <v>9.3962789327523624E-2</v>
      </c>
      <c r="AL4">
        <f>F9</f>
        <v>3.5147299067675478E-5</v>
      </c>
      <c r="AM4">
        <f>24*9.8/180/C9</f>
        <v>4.8876586618787562E-3</v>
      </c>
      <c r="AN4">
        <f>AM4*0.08</f>
        <v>3.9101269295030048E-4</v>
      </c>
    </row>
    <row r="5" spans="1:40" x14ac:dyDescent="0.3">
      <c r="A5">
        <v>2</v>
      </c>
      <c r="B5">
        <v>4</v>
      </c>
      <c r="C5">
        <v>267.39999999999998</v>
      </c>
      <c r="D5">
        <v>0.1</v>
      </c>
      <c r="E5">
        <f>2*3.14*B5/C5</f>
        <v>9.3941660433807042E-2</v>
      </c>
      <c r="F5">
        <f t="shared" ref="F5:F9" si="1">E5/C5*D5</f>
        <v>3.5131511007407273E-5</v>
      </c>
      <c r="G5">
        <f t="shared" si="0"/>
        <v>9.472450760408875E-5</v>
      </c>
      <c r="H5">
        <f t="shared" ref="H5:H9" si="2">G5*SQRT((D5/C5)*(D5/C5)+6.8*10^(-7))</f>
        <v>8.5769092054163808E-8</v>
      </c>
      <c r="J5">
        <v>2</v>
      </c>
      <c r="K5">
        <v>6</v>
      </c>
      <c r="L5">
        <v>133.5</v>
      </c>
      <c r="M5">
        <v>0.1</v>
      </c>
      <c r="N5">
        <f t="shared" ref="N5:N8" si="3">2*3.14*K5/L5</f>
        <v>0.28224719101123596</v>
      </c>
      <c r="O5">
        <f t="shared" ref="O5:O9" si="4">N5/L5*M5</f>
        <v>2.1142111686234906E-4</v>
      </c>
      <c r="P5">
        <f t="shared" ref="P5:P9" si="5">2*121*3.14*6/180/L5/1000</f>
        <v>1.8973283395755302E-4</v>
      </c>
      <c r="Q5">
        <f t="shared" ref="Q5:Q9" si="6">P5*SQRT((M5/L5)*(M5/L5)+6.8*10^(-7))</f>
        <v>2.1137092525089652E-7</v>
      </c>
      <c r="S5">
        <v>2</v>
      </c>
      <c r="T5">
        <v>4</v>
      </c>
      <c r="U5">
        <v>175</v>
      </c>
      <c r="V5">
        <v>0.1</v>
      </c>
      <c r="W5">
        <f t="shared" ref="W5:W8" si="7">2*3.14*T5/U5</f>
        <v>0.14354285714285714</v>
      </c>
      <c r="X5">
        <f t="shared" ref="X5:X9" si="8">W5/U5*V5</f>
        <v>8.2024489795918368E-5</v>
      </c>
      <c r="Y5">
        <f t="shared" ref="Y5:Y9" si="9">2*121*3.14*6/180/U5/1000</f>
        <v>1.4473904761904761E-4</v>
      </c>
      <c r="Z5">
        <f t="shared" ref="Z5:Z9" si="10">Y5*SQRT((V5/U5)*(V5/U5)+6.8*10^(-7))</f>
        <v>1.4521089580665518E-7</v>
      </c>
      <c r="AB5">
        <v>10</v>
      </c>
      <c r="AC5">
        <v>32.22</v>
      </c>
      <c r="AE5">
        <v>10</v>
      </c>
      <c r="AF5">
        <v>41.31</v>
      </c>
      <c r="AH5">
        <f t="shared" ref="AH5:AH9" si="11">AI5/AJ5</f>
        <v>0.10029328285557595</v>
      </c>
      <c r="AI5">
        <f t="shared" ref="AI5:AI9" si="12">AJ5*SQRT((AL5/AK5)*(AL5/AK5)+(AN5/AM5)*(AN5/AM5) + ($AG$8/$AF$8)*($AG$8/$AF$8))</f>
        <v>7.5749638525822857E-8</v>
      </c>
      <c r="AJ5">
        <f t="shared" ref="AJ5:AJ9" si="13">AK5*AM5*$AF$8</f>
        <v>7.5528127476795865E-7</v>
      </c>
      <c r="AK5">
        <f>E19</f>
        <v>9.383445130689963E-2</v>
      </c>
      <c r="AL5">
        <f>F19</f>
        <v>4.6734959312132495E-5</v>
      </c>
      <c r="AM5">
        <f>24*9.8/180/C19</f>
        <v>6.5079523192881098E-3</v>
      </c>
      <c r="AN5">
        <f t="shared" ref="AN5:AN9" si="14">AM5*0.08</f>
        <v>5.206361855430488E-4</v>
      </c>
    </row>
    <row r="6" spans="1:40" x14ac:dyDescent="0.3">
      <c r="A6">
        <v>3</v>
      </c>
      <c r="B6">
        <v>4</v>
      </c>
      <c r="C6">
        <v>267.3</v>
      </c>
      <c r="D6">
        <v>0.1</v>
      </c>
      <c r="E6">
        <f>2*3.14*B6/C6</f>
        <v>9.3976805087916199E-2</v>
      </c>
      <c r="F6">
        <f t="shared" si="1"/>
        <v>3.5157802127914772E-5</v>
      </c>
      <c r="G6">
        <f t="shared" si="0"/>
        <v>9.4759945130315487E-5</v>
      </c>
      <c r="H6">
        <f t="shared" si="2"/>
        <v>8.580665574217248E-8</v>
      </c>
      <c r="J6">
        <v>3</v>
      </c>
      <c r="K6">
        <v>6</v>
      </c>
      <c r="L6">
        <v>133.69999999999999</v>
      </c>
      <c r="M6">
        <v>0.1</v>
      </c>
      <c r="N6">
        <f t="shared" si="3"/>
        <v>0.28182498130142114</v>
      </c>
      <c r="O6">
        <f t="shared" si="4"/>
        <v>2.1078906604444364E-4</v>
      </c>
      <c r="P6">
        <f t="shared" si="5"/>
        <v>1.894490152081775E-4</v>
      </c>
      <c r="Q6">
        <f t="shared" si="6"/>
        <v>2.1091206349447996E-7</v>
      </c>
      <c r="S6">
        <v>3</v>
      </c>
      <c r="T6">
        <v>4</v>
      </c>
      <c r="U6">
        <v>175.6</v>
      </c>
      <c r="V6">
        <v>0.1</v>
      </c>
      <c r="W6">
        <f t="shared" si="7"/>
        <v>0.14305239179954443</v>
      </c>
      <c r="X6">
        <f t="shared" si="8"/>
        <v>8.1464915603385215E-5</v>
      </c>
      <c r="Y6">
        <f t="shared" si="9"/>
        <v>1.4424449506454063E-4</v>
      </c>
      <c r="Z6">
        <f t="shared" si="10"/>
        <v>1.4455450453554538E-7</v>
      </c>
      <c r="AE6" t="s">
        <v>6</v>
      </c>
      <c r="AF6">
        <v>1.6180000000000001</v>
      </c>
      <c r="AG6">
        <v>5.0000000000000001E-4</v>
      </c>
      <c r="AH6">
        <f t="shared" si="11"/>
        <v>0.10029484511863579</v>
      </c>
      <c r="AI6">
        <f t="shared" si="12"/>
        <v>3.4289056937714827E-7</v>
      </c>
      <c r="AJ6">
        <f t="shared" si="13"/>
        <v>3.4188254538062573E-6</v>
      </c>
      <c r="AK6">
        <f>N9</f>
        <v>0.28233271242885943</v>
      </c>
      <c r="AL6">
        <f>O9</f>
        <v>2.1154856318661731E-4</v>
      </c>
      <c r="AM6">
        <f>24*9.8/180/L9</f>
        <v>9.7906988361057008E-3</v>
      </c>
      <c r="AN6">
        <f t="shared" si="14"/>
        <v>7.832559068884561E-4</v>
      </c>
    </row>
    <row r="7" spans="1:40" x14ac:dyDescent="0.3">
      <c r="A7">
        <v>4</v>
      </c>
      <c r="B7">
        <v>4</v>
      </c>
      <c r="C7">
        <v>267.5</v>
      </c>
      <c r="D7">
        <v>0.1</v>
      </c>
      <c r="E7">
        <f>2*3.14*B7/C7</f>
        <v>9.3906542056074765E-2</v>
      </c>
      <c r="F7">
        <f t="shared" si="1"/>
        <v>3.5105249366756923E-5</v>
      </c>
      <c r="G7">
        <f t="shared" si="0"/>
        <v>9.4689096573208714E-5</v>
      </c>
      <c r="H7">
        <f t="shared" si="2"/>
        <v>8.5731562238544544E-8</v>
      </c>
      <c r="J7">
        <v>4</v>
      </c>
      <c r="K7">
        <v>6</v>
      </c>
      <c r="L7">
        <v>133.5</v>
      </c>
      <c r="M7">
        <v>0.1</v>
      </c>
      <c r="N7">
        <f t="shared" si="3"/>
        <v>0.28224719101123596</v>
      </c>
      <c r="O7">
        <f t="shared" si="4"/>
        <v>2.1142111686234906E-4</v>
      </c>
      <c r="P7">
        <f t="shared" si="5"/>
        <v>1.8973283395755302E-4</v>
      </c>
      <c r="Q7">
        <f t="shared" si="6"/>
        <v>2.1137092525089652E-7</v>
      </c>
      <c r="S7">
        <v>4</v>
      </c>
      <c r="T7">
        <v>4</v>
      </c>
      <c r="U7">
        <v>176</v>
      </c>
      <c r="V7">
        <v>0.1</v>
      </c>
      <c r="W7">
        <f t="shared" si="7"/>
        <v>0.14272727272727273</v>
      </c>
      <c r="X7">
        <f t="shared" si="8"/>
        <v>8.1095041322314055E-5</v>
      </c>
      <c r="Y7">
        <f t="shared" si="9"/>
        <v>1.4391666666666668E-4</v>
      </c>
      <c r="Z7">
        <f t="shared" si="10"/>
        <v>1.4412020644673667E-7</v>
      </c>
      <c r="AE7" t="s">
        <v>8</v>
      </c>
      <c r="AF7">
        <v>3.9100000000000003E-2</v>
      </c>
      <c r="AG7">
        <v>1E-4</v>
      </c>
      <c r="AH7">
        <f t="shared" si="11"/>
        <v>0.10029282257369136</v>
      </c>
      <c r="AI7">
        <f t="shared" si="12"/>
        <v>4.7555900212790274E-8</v>
      </c>
      <c r="AJ7">
        <f t="shared" si="13"/>
        <v>4.7417052379643618E-7</v>
      </c>
      <c r="AK7">
        <f>N19</f>
        <v>7.4348860195819405E-2</v>
      </c>
      <c r="AL7">
        <f>O19</f>
        <v>2.9340513100165512E-5</v>
      </c>
      <c r="AM7">
        <f>24*9.8/180/L19</f>
        <v>5.1565377532228366E-3</v>
      </c>
      <c r="AN7">
        <f t="shared" si="14"/>
        <v>4.1252302025782692E-4</v>
      </c>
    </row>
    <row r="8" spans="1:40" x14ac:dyDescent="0.3">
      <c r="A8">
        <v>5</v>
      </c>
      <c r="B8">
        <v>4</v>
      </c>
      <c r="C8">
        <v>267</v>
      </c>
      <c r="D8">
        <v>0.1</v>
      </c>
      <c r="E8">
        <f>2*3.14*B8/C8</f>
        <v>9.4082397003745322E-2</v>
      </c>
      <c r="F8">
        <f t="shared" si="1"/>
        <v>3.5236852810391512E-5</v>
      </c>
      <c r="G8">
        <f t="shared" si="0"/>
        <v>9.4866416978776509E-5</v>
      </c>
      <c r="H8">
        <f t="shared" si="2"/>
        <v>8.5919550502130845E-8</v>
      </c>
      <c r="J8">
        <v>5</v>
      </c>
      <c r="K8">
        <v>6</v>
      </c>
      <c r="L8">
        <v>133.6</v>
      </c>
      <c r="M8">
        <v>0.1</v>
      </c>
      <c r="N8">
        <f t="shared" si="3"/>
        <v>0.28203592814371259</v>
      </c>
      <c r="O8">
        <f t="shared" si="4"/>
        <v>2.1110473663451545E-4</v>
      </c>
      <c r="P8">
        <f t="shared" si="5"/>
        <v>1.8959081836327342E-4</v>
      </c>
      <c r="Q8">
        <f t="shared" si="6"/>
        <v>2.1114125455789946E-7</v>
      </c>
      <c r="S8">
        <v>5</v>
      </c>
      <c r="T8">
        <v>4</v>
      </c>
      <c r="U8">
        <v>175.5</v>
      </c>
      <c r="V8">
        <v>0.1</v>
      </c>
      <c r="W8">
        <f t="shared" si="7"/>
        <v>0.14313390313390315</v>
      </c>
      <c r="X8">
        <f t="shared" si="8"/>
        <v>8.1557779563477578E-5</v>
      </c>
      <c r="Y8">
        <f t="shared" si="9"/>
        <v>1.4432668566001896E-4</v>
      </c>
      <c r="Z8">
        <f t="shared" si="10"/>
        <v>1.4466348955671021E-7</v>
      </c>
      <c r="AE8" t="s">
        <v>9</v>
      </c>
      <c r="AF8">
        <f>AF6*AF7*AF7/2</f>
        <v>1.2368072900000003E-3</v>
      </c>
      <c r="AG8">
        <f>AF8*AD3*AD3/(AG3*AG3)/10</f>
        <v>7.4808895217211538E-5</v>
      </c>
      <c r="AH8">
        <f t="shared" si="11"/>
        <v>0.10029366552947899</v>
      </c>
      <c r="AI8">
        <f t="shared" si="12"/>
        <v>1.3225296198451151E-7</v>
      </c>
      <c r="AJ8">
        <f t="shared" si="13"/>
        <v>1.3186571782605635E-6</v>
      </c>
      <c r="AK8">
        <f>W9</f>
        <v>0.1431670840474735</v>
      </c>
      <c r="AL8">
        <f>X9</f>
        <v>8.1595283282499448E-5</v>
      </c>
      <c r="AM8">
        <f>24*9.8/180/U9</f>
        <v>7.4470914548425112E-3</v>
      </c>
      <c r="AN8">
        <f t="shared" si="14"/>
        <v>5.9576731638740095E-4</v>
      </c>
    </row>
    <row r="9" spans="1:40" x14ac:dyDescent="0.3">
      <c r="A9" t="s">
        <v>24</v>
      </c>
      <c r="B9">
        <v>4</v>
      </c>
      <c r="C9">
        <f>AVERAGE(C4:C8)</f>
        <v>267.34000000000003</v>
      </c>
      <c r="D9">
        <v>0.1</v>
      </c>
      <c r="E9">
        <f t="shared" ref="E9" si="15">AVERAGE(E4:E8)</f>
        <v>9.3962789327523624E-2</v>
      </c>
      <c r="F9">
        <f t="shared" si="1"/>
        <v>3.5147299067675478E-5</v>
      </c>
      <c r="G9">
        <f t="shared" si="0"/>
        <v>9.4745766938480322E-5</v>
      </c>
      <c r="H9">
        <f t="shared" si="2"/>
        <v>8.5791626199332579E-8</v>
      </c>
      <c r="J9" t="s">
        <v>24</v>
      </c>
      <c r="K9">
        <v>6</v>
      </c>
      <c r="L9">
        <f>AVERAGE(L4:L8)</f>
        <v>133.46</v>
      </c>
      <c r="M9">
        <v>0.1</v>
      </c>
      <c r="N9">
        <f t="shared" ref="N9" si="16">AVERAGE(N4:N8)</f>
        <v>0.28233271242885943</v>
      </c>
      <c r="O9">
        <f t="shared" si="4"/>
        <v>2.1154856318661731E-4</v>
      </c>
      <c r="P9">
        <f t="shared" si="5"/>
        <v>1.8978969978520401E-4</v>
      </c>
      <c r="Q9">
        <f t="shared" si="6"/>
        <v>2.1146292814261779E-7</v>
      </c>
      <c r="S9" t="s">
        <v>24</v>
      </c>
      <c r="T9">
        <v>4</v>
      </c>
      <c r="U9">
        <f>AVERAGE(U4:U8)</f>
        <v>175.45999999999998</v>
      </c>
      <c r="V9">
        <v>0.1</v>
      </c>
      <c r="W9">
        <f t="shared" ref="W9" si="17">AVERAGE(W4:W8)</f>
        <v>0.1431670840474735</v>
      </c>
      <c r="X9">
        <f t="shared" si="8"/>
        <v>8.1595283282499448E-5</v>
      </c>
      <c r="Y9">
        <f t="shared" si="9"/>
        <v>1.4435958813024811E-4</v>
      </c>
      <c r="Z9">
        <f t="shared" si="10"/>
        <v>1.4470712972341904E-7</v>
      </c>
      <c r="AE9" t="s">
        <v>11</v>
      </c>
      <c r="AF9">
        <f>U23</f>
        <v>2.3044116432038515</v>
      </c>
      <c r="AH9">
        <f t="shared" si="11"/>
        <v>0.10029360943996714</v>
      </c>
      <c r="AI9">
        <f t="shared" si="12"/>
        <v>1.5958973698420936E-7</v>
      </c>
      <c r="AJ9">
        <f t="shared" si="13"/>
        <v>1.5912253819096536E-6</v>
      </c>
      <c r="AK9">
        <f>W19</f>
        <v>0.17583189942759908</v>
      </c>
      <c r="AL9">
        <f>X19</f>
        <v>9.8461137544853346E-5</v>
      </c>
      <c r="AM9">
        <f>24*9.8/180/U19</f>
        <v>7.3169821181916618E-3</v>
      </c>
      <c r="AN9">
        <f t="shared" si="14"/>
        <v>5.8535856945533295E-4</v>
      </c>
    </row>
    <row r="10" spans="1:40" x14ac:dyDescent="0.3">
      <c r="AE10" t="s">
        <v>10</v>
      </c>
      <c r="AF10">
        <f>AF9/AG8</f>
        <v>30803.97907913052</v>
      </c>
    </row>
    <row r="11" spans="1:40" x14ac:dyDescent="0.3">
      <c r="B11" t="s">
        <v>0</v>
      </c>
      <c r="C11">
        <v>216</v>
      </c>
      <c r="E11" t="s">
        <v>7</v>
      </c>
      <c r="G11">
        <f>C11*9.8/1000*110/1000</f>
        <v>0.232848</v>
      </c>
      <c r="K11" t="s">
        <v>0</v>
      </c>
      <c r="L11">
        <v>142</v>
      </c>
      <c r="N11" t="s">
        <v>7</v>
      </c>
      <c r="P11">
        <f>L11*9.8/1000*121/1000</f>
        <v>0.16838360000000002</v>
      </c>
      <c r="T11" t="s">
        <v>0</v>
      </c>
      <c r="U11">
        <v>341</v>
      </c>
      <c r="W11" t="s">
        <v>7</v>
      </c>
      <c r="Y11">
        <f>U11*9.8/1000*111/1000</f>
        <v>0.37093979999999999</v>
      </c>
      <c r="AE11" t="s">
        <v>10</v>
      </c>
      <c r="AF11">
        <v>2951.6</v>
      </c>
    </row>
    <row r="12" spans="1:40" x14ac:dyDescent="0.3">
      <c r="B12" s="1" t="s">
        <v>0</v>
      </c>
      <c r="C12" s="2">
        <f>C11</f>
        <v>216</v>
      </c>
      <c r="D12" s="2"/>
      <c r="E12" t="s">
        <v>23</v>
      </c>
      <c r="F12" s="2">
        <f>G11</f>
        <v>0.232848</v>
      </c>
      <c r="G12" s="2"/>
      <c r="K12" s="1" t="s">
        <v>0</v>
      </c>
      <c r="L12" s="2">
        <f>L11</f>
        <v>142</v>
      </c>
      <c r="M12" s="2"/>
      <c r="N12" t="s">
        <v>23</v>
      </c>
      <c r="O12" s="2">
        <f>P11</f>
        <v>0.16838360000000002</v>
      </c>
      <c r="P12" s="2"/>
      <c r="T12" s="1" t="s">
        <v>0</v>
      </c>
      <c r="U12" s="2">
        <f>U11</f>
        <v>341</v>
      </c>
      <c r="V12" s="2"/>
      <c r="W12" t="s">
        <v>23</v>
      </c>
      <c r="X12" s="2">
        <f>Y11</f>
        <v>0.37093979999999999</v>
      </c>
      <c r="Y12" s="2"/>
    </row>
    <row r="13" spans="1:40" x14ac:dyDescent="0.3">
      <c r="B13" t="s">
        <v>1</v>
      </c>
      <c r="C13" t="s">
        <v>2</v>
      </c>
      <c r="D13" t="s">
        <v>19</v>
      </c>
      <c r="E13" t="s">
        <v>20</v>
      </c>
      <c r="F13" t="s">
        <v>22</v>
      </c>
      <c r="G13" t="s">
        <v>3</v>
      </c>
      <c r="H13" t="s">
        <v>25</v>
      </c>
      <c r="K13" t="s">
        <v>1</v>
      </c>
      <c r="L13" t="s">
        <v>2</v>
      </c>
      <c r="M13" t="s">
        <v>19</v>
      </c>
      <c r="N13" t="s">
        <v>20</v>
      </c>
      <c r="O13" t="s">
        <v>22</v>
      </c>
      <c r="P13" t="s">
        <v>3</v>
      </c>
      <c r="Q13" t="s">
        <v>25</v>
      </c>
      <c r="T13" t="s">
        <v>1</v>
      </c>
      <c r="U13" t="s">
        <v>2</v>
      </c>
      <c r="V13" t="s">
        <v>19</v>
      </c>
      <c r="W13" t="s">
        <v>20</v>
      </c>
      <c r="X13" t="s">
        <v>22</v>
      </c>
      <c r="Y13" t="s">
        <v>3</v>
      </c>
      <c r="Z13" t="s">
        <v>25</v>
      </c>
      <c r="AC13" t="s">
        <v>27</v>
      </c>
      <c r="AD13" t="s">
        <v>28</v>
      </c>
    </row>
    <row r="14" spans="1:40" x14ac:dyDescent="0.3">
      <c r="A14">
        <v>1</v>
      </c>
      <c r="B14">
        <v>3</v>
      </c>
      <c r="C14">
        <v>201.3</v>
      </c>
      <c r="D14">
        <v>0.1</v>
      </c>
      <c r="E14">
        <f>2*3.14*B14/C14</f>
        <v>9.359165424739195E-2</v>
      </c>
      <c r="F14">
        <f>E14/C14*D14</f>
        <v>4.6493618602777919E-5</v>
      </c>
      <c r="G14">
        <f>2*121*3.14*6/180/C14/1000</f>
        <v>1.2582877959927137E-4</v>
      </c>
      <c r="H14">
        <f>G14*SQRT((D14/C14)*(D14/C14)+6.8*10^(-7))</f>
        <v>1.2113472077312042E-7</v>
      </c>
      <c r="J14">
        <v>1</v>
      </c>
      <c r="K14">
        <v>3</v>
      </c>
      <c r="L14">
        <v>253.4</v>
      </c>
      <c r="M14">
        <v>0.1</v>
      </c>
      <c r="N14">
        <f>2*3.14*K14/L14</f>
        <v>7.4348855564325175E-2</v>
      </c>
      <c r="O14">
        <f>N14/L14*M14</f>
        <v>2.9340511272425089E-5</v>
      </c>
      <c r="P14">
        <f>2*121*3.14*6/180/L14/1000</f>
        <v>9.9957905814259394E-5</v>
      </c>
      <c r="Q14">
        <f>P14*SQRT((M14/L14)*(M14/L14)+6.8*10^(-7))</f>
        <v>9.1380071901335681E-8</v>
      </c>
      <c r="S14">
        <v>1</v>
      </c>
      <c r="T14">
        <v>5</v>
      </c>
      <c r="U14">
        <v>178.3</v>
      </c>
      <c r="V14">
        <v>0.1</v>
      </c>
      <c r="W14">
        <f>2*3.14*T14/U14</f>
        <v>0.17610768367919238</v>
      </c>
      <c r="X14">
        <f>W14/U14*V14</f>
        <v>9.8770433919906006E-5</v>
      </c>
      <c r="Y14">
        <f>2*121*3.14*6/180/U14/1000</f>
        <v>1.4206019816788182E-4</v>
      </c>
      <c r="Z14">
        <f>Y14*SQRT((V14/U14)*(V14/U14)+6.8*10^(-7))</f>
        <v>1.4167294854637092E-7</v>
      </c>
      <c r="AA14">
        <v>1</v>
      </c>
      <c r="AB14">
        <v>10</v>
      </c>
      <c r="AC14">
        <v>42.16</v>
      </c>
      <c r="AD14">
        <v>0.1</v>
      </c>
      <c r="AE14">
        <f>($AC$19-AC14)*($AC$19-AC14)</f>
        <v>0.48720399999999064</v>
      </c>
    </row>
    <row r="15" spans="1:40" x14ac:dyDescent="0.3">
      <c r="A15">
        <v>2</v>
      </c>
      <c r="B15">
        <v>3</v>
      </c>
      <c r="C15">
        <v>200.2</v>
      </c>
      <c r="D15">
        <v>0.1</v>
      </c>
      <c r="E15">
        <f>2*3.14*B15/C15</f>
        <v>9.4105894105894108E-2</v>
      </c>
      <c r="F15">
        <f t="shared" ref="F15:F19" si="18">E15/C15*D15</f>
        <v>4.7005941111835219E-5</v>
      </c>
      <c r="G15">
        <f t="shared" ref="G15:G19" si="19">2*121*3.14*6/180/C15/1000</f>
        <v>1.2652014652014652E-4</v>
      </c>
      <c r="H15">
        <f t="shared" ref="H15:H19" si="20">G15*SQRT((D15/C15)*(D15/C15)+6.8*10^(-7))</f>
        <v>1.2197885664319573E-7</v>
      </c>
      <c r="J15">
        <v>2</v>
      </c>
      <c r="K15">
        <v>3</v>
      </c>
      <c r="L15">
        <v>253.4</v>
      </c>
      <c r="M15">
        <v>0.1</v>
      </c>
      <c r="N15">
        <f t="shared" ref="N15:N18" si="21">2*3.14*K15/L15</f>
        <v>7.4348855564325175E-2</v>
      </c>
      <c r="O15">
        <f t="shared" ref="O15:O19" si="22">N15/L15*M15</f>
        <v>2.9340511272425089E-5</v>
      </c>
      <c r="P15">
        <f t="shared" ref="P15:P19" si="23">2*121*3.14*6/180/L15/1000</f>
        <v>9.9957905814259394E-5</v>
      </c>
      <c r="Q15">
        <f t="shared" ref="Q15:Q19" si="24">P15*SQRT((M15/L15)*(M15/L15)+6.8*10^(-7))</f>
        <v>9.1380071901335681E-8</v>
      </c>
      <c r="S15">
        <v>2</v>
      </c>
      <c r="T15">
        <v>5</v>
      </c>
      <c r="U15">
        <v>179</v>
      </c>
      <c r="V15">
        <v>0.1</v>
      </c>
      <c r="W15">
        <f t="shared" ref="W15:W18" si="25">2*3.14*T15/U15</f>
        <v>0.17541899441340783</v>
      </c>
      <c r="X15">
        <f t="shared" ref="X15:X19" si="26">W15/U15*V15</f>
        <v>9.7999438219780919E-5</v>
      </c>
      <c r="Y15">
        <f t="shared" ref="Y15:Y19" si="27">2*121*3.14*6/180/U15/1000</f>
        <v>1.4150465549348228E-4</v>
      </c>
      <c r="Z15">
        <f t="shared" ref="Z15:Z19" si="28">Y15*SQRT((V15/U15)*(V15/U15)+6.8*10^(-7))</f>
        <v>1.4094461245510828E-7</v>
      </c>
      <c r="AA15">
        <v>2</v>
      </c>
      <c r="AB15">
        <v>10</v>
      </c>
      <c r="AC15">
        <v>41.28</v>
      </c>
      <c r="AD15">
        <v>0.1</v>
      </c>
      <c r="AE15">
        <f t="shared" ref="AE15:AE18" si="29">($AC$19-AC15)*($AC$19-AC15)</f>
        <v>3.3124000000000785E-2</v>
      </c>
    </row>
    <row r="16" spans="1:40" x14ac:dyDescent="0.3">
      <c r="A16">
        <v>3</v>
      </c>
      <c r="B16">
        <v>3</v>
      </c>
      <c r="C16">
        <v>201.2</v>
      </c>
      <c r="D16">
        <v>0.1</v>
      </c>
      <c r="E16">
        <f>2*3.14*B16/C16</f>
        <v>9.3638170974155069E-2</v>
      </c>
      <c r="F16">
        <f t="shared" si="18"/>
        <v>4.6539846408625787E-5</v>
      </c>
      <c r="G16">
        <f t="shared" si="19"/>
        <v>1.2589131875414181E-4</v>
      </c>
      <c r="H16">
        <f t="shared" si="20"/>
        <v>1.2121096934951092E-7</v>
      </c>
      <c r="J16">
        <v>3</v>
      </c>
      <c r="K16">
        <v>3</v>
      </c>
      <c r="L16">
        <v>253.3</v>
      </c>
      <c r="M16">
        <v>0.1</v>
      </c>
      <c r="N16">
        <f t="shared" si="21"/>
        <v>7.437820765890249E-2</v>
      </c>
      <c r="O16">
        <f t="shared" si="22"/>
        <v>2.9363682455152977E-5</v>
      </c>
      <c r="P16">
        <f t="shared" si="23"/>
        <v>9.9997368074746651E-5</v>
      </c>
      <c r="Q16">
        <f t="shared" si="24"/>
        <v>9.1422874018641809E-8</v>
      </c>
      <c r="S16">
        <v>3</v>
      </c>
      <c r="T16">
        <v>5</v>
      </c>
      <c r="U16">
        <v>178.5</v>
      </c>
      <c r="V16">
        <v>0.1</v>
      </c>
      <c r="W16">
        <f t="shared" si="25"/>
        <v>0.17591036414565828</v>
      </c>
      <c r="X16">
        <f t="shared" si="26"/>
        <v>9.8549223611013056E-5</v>
      </c>
      <c r="Y16">
        <f t="shared" si="27"/>
        <v>1.4190102707749766E-4</v>
      </c>
      <c r="Z16">
        <f t="shared" si="28"/>
        <v>1.4146408181492442E-7</v>
      </c>
      <c r="AA16">
        <v>3</v>
      </c>
      <c r="AB16">
        <v>10</v>
      </c>
      <c r="AC16">
        <v>41.28</v>
      </c>
      <c r="AD16">
        <v>0.1</v>
      </c>
      <c r="AE16">
        <f t="shared" si="29"/>
        <v>3.3124000000000785E-2</v>
      </c>
    </row>
    <row r="17" spans="1:34" x14ac:dyDescent="0.3">
      <c r="A17">
        <v>4</v>
      </c>
      <c r="B17">
        <v>3</v>
      </c>
      <c r="C17">
        <v>200.5</v>
      </c>
      <c r="D17">
        <v>0.1</v>
      </c>
      <c r="E17">
        <f>2*3.14*B17/C17</f>
        <v>9.3965087281795506E-2</v>
      </c>
      <c r="F17">
        <f t="shared" si="18"/>
        <v>4.6865380190421699E-5</v>
      </c>
      <c r="G17">
        <f t="shared" si="19"/>
        <v>1.2633083956774729E-4</v>
      </c>
      <c r="H17">
        <f t="shared" si="20"/>
        <v>1.2174745403610898E-7</v>
      </c>
      <c r="J17">
        <v>4</v>
      </c>
      <c r="K17">
        <v>3</v>
      </c>
      <c r="L17">
        <v>253.5</v>
      </c>
      <c r="M17">
        <v>0.1</v>
      </c>
      <c r="N17">
        <f t="shared" si="21"/>
        <v>7.431952662721894E-2</v>
      </c>
      <c r="O17">
        <f t="shared" si="22"/>
        <v>2.9317367505806288E-5</v>
      </c>
      <c r="P17">
        <f t="shared" si="23"/>
        <v>9.9918474687705445E-5</v>
      </c>
      <c r="Q17">
        <f t="shared" si="24"/>
        <v>9.133731101153448E-8</v>
      </c>
      <c r="S17">
        <v>4</v>
      </c>
      <c r="T17">
        <v>5</v>
      </c>
      <c r="U17">
        <v>178.7</v>
      </c>
      <c r="V17">
        <v>0.1</v>
      </c>
      <c r="W17">
        <f t="shared" si="25"/>
        <v>0.17571348628987132</v>
      </c>
      <c r="X17">
        <f t="shared" si="26"/>
        <v>9.8328755618282799E-5</v>
      </c>
      <c r="Y17">
        <f t="shared" si="27"/>
        <v>1.4174221227382949E-4</v>
      </c>
      <c r="Z17">
        <f t="shared" si="28"/>
        <v>1.4125583297875391E-7</v>
      </c>
      <c r="AA17">
        <v>4</v>
      </c>
      <c r="AB17">
        <v>10</v>
      </c>
      <c r="AC17">
        <v>41.28</v>
      </c>
      <c r="AD17">
        <v>0.1</v>
      </c>
      <c r="AE17">
        <f t="shared" si="29"/>
        <v>3.3124000000000785E-2</v>
      </c>
    </row>
    <row r="18" spans="1:34" x14ac:dyDescent="0.3">
      <c r="A18">
        <v>5</v>
      </c>
      <c r="B18">
        <v>3</v>
      </c>
      <c r="C18">
        <v>200.7</v>
      </c>
      <c r="D18">
        <v>0.1</v>
      </c>
      <c r="E18">
        <f>2*3.14*B18/C18</f>
        <v>9.3871449925261585E-2</v>
      </c>
      <c r="F18">
        <f t="shared" si="18"/>
        <v>4.6772022882541902E-5</v>
      </c>
      <c r="G18">
        <f t="shared" si="19"/>
        <v>1.2620494934396278E-4</v>
      </c>
      <c r="H18">
        <f t="shared" si="20"/>
        <v>1.2159368072289225E-7</v>
      </c>
      <c r="J18">
        <v>5</v>
      </c>
      <c r="K18">
        <v>3</v>
      </c>
      <c r="L18">
        <v>253.4</v>
      </c>
      <c r="M18">
        <v>0.1</v>
      </c>
      <c r="N18">
        <f t="shared" si="21"/>
        <v>7.4348855564325175E-2</v>
      </c>
      <c r="O18">
        <f t="shared" si="22"/>
        <v>2.9340511272425089E-5</v>
      </c>
      <c r="P18">
        <f t="shared" si="23"/>
        <v>9.9957905814259394E-5</v>
      </c>
      <c r="Q18">
        <f t="shared" si="24"/>
        <v>9.1380071901335681E-8</v>
      </c>
      <c r="S18">
        <v>5</v>
      </c>
      <c r="T18">
        <v>5</v>
      </c>
      <c r="U18">
        <v>178.4</v>
      </c>
      <c r="V18">
        <v>0.1</v>
      </c>
      <c r="W18">
        <f t="shared" si="25"/>
        <v>0.17600896860986548</v>
      </c>
      <c r="X18">
        <f t="shared" si="26"/>
        <v>9.8659735767861817E-5</v>
      </c>
      <c r="Y18">
        <f t="shared" si="27"/>
        <v>1.4198056801195813E-4</v>
      </c>
      <c r="Z18">
        <f t="shared" si="28"/>
        <v>1.4156843777667041E-7</v>
      </c>
      <c r="AA18">
        <v>5</v>
      </c>
      <c r="AB18">
        <v>10</v>
      </c>
      <c r="AC18">
        <v>41.31</v>
      </c>
      <c r="AD18">
        <v>0.1</v>
      </c>
      <c r="AE18">
        <f t="shared" si="29"/>
        <v>2.3104000000000312E-2</v>
      </c>
    </row>
    <row r="19" spans="1:34" x14ac:dyDescent="0.3">
      <c r="A19" t="s">
        <v>24</v>
      </c>
      <c r="B19">
        <v>3</v>
      </c>
      <c r="C19">
        <f>AVERAGE(C14:C18)</f>
        <v>200.78000000000003</v>
      </c>
      <c r="D19">
        <v>0.1</v>
      </c>
      <c r="E19">
        <f t="shared" ref="E19" si="30">AVERAGE(E14:E18)</f>
        <v>9.383445130689963E-2</v>
      </c>
      <c r="F19">
        <f t="shared" si="18"/>
        <v>4.6734959312132495E-5</v>
      </c>
      <c r="G19">
        <f t="shared" si="19"/>
        <v>1.2615466347909814E-4</v>
      </c>
      <c r="H19">
        <f t="shared" si="20"/>
        <v>1.2153228189205563E-7</v>
      </c>
      <c r="J19" t="s">
        <v>24</v>
      </c>
      <c r="K19">
        <v>3</v>
      </c>
      <c r="L19">
        <f>AVERAGE(L14:L18)</f>
        <v>253.4</v>
      </c>
      <c r="M19">
        <v>0.1</v>
      </c>
      <c r="N19">
        <f t="shared" ref="N19" si="31">AVERAGE(N14:N18)</f>
        <v>7.4348860195819405E-2</v>
      </c>
      <c r="O19">
        <f t="shared" si="22"/>
        <v>2.9340513100165512E-5</v>
      </c>
      <c r="P19">
        <f t="shared" si="23"/>
        <v>9.9957905814259394E-5</v>
      </c>
      <c r="Q19">
        <f t="shared" si="24"/>
        <v>9.1380071901335681E-8</v>
      </c>
      <c r="S19" t="s">
        <v>24</v>
      </c>
      <c r="T19">
        <v>5</v>
      </c>
      <c r="U19">
        <f>AVERAGE(U14:U18)</f>
        <v>178.57999999999998</v>
      </c>
      <c r="V19">
        <v>0.1</v>
      </c>
      <c r="W19">
        <f t="shared" ref="W19" si="32">AVERAGE(W14:W18)</f>
        <v>0.17583189942759908</v>
      </c>
      <c r="X19">
        <f t="shared" si="26"/>
        <v>9.8461137544853346E-5</v>
      </c>
      <c r="Y19">
        <f t="shared" si="27"/>
        <v>1.4183745846866016E-4</v>
      </c>
      <c r="Z19">
        <f t="shared" si="28"/>
        <v>1.4138070828252833E-7</v>
      </c>
      <c r="AA19" t="s">
        <v>24</v>
      </c>
      <c r="AB19">
        <v>10</v>
      </c>
      <c r="AC19">
        <f>AVERAGE(AC14:AC18)</f>
        <v>41.462000000000003</v>
      </c>
      <c r="AD19">
        <f>1/5*SQRT(SUM(AE14:AE18))</f>
        <v>0.15616401634179283</v>
      </c>
    </row>
    <row r="20" spans="1:34" x14ac:dyDescent="0.3">
      <c r="B20" t="s">
        <v>4</v>
      </c>
      <c r="C20" t="s">
        <v>5</v>
      </c>
      <c r="AB20" s="2" t="s">
        <v>29</v>
      </c>
      <c r="AC20" s="2"/>
      <c r="AD20" s="2"/>
    </row>
    <row r="22" spans="1:34" x14ac:dyDescent="0.3">
      <c r="E22" t="s">
        <v>12</v>
      </c>
      <c r="F22" t="s">
        <v>26</v>
      </c>
      <c r="G22" t="s">
        <v>13</v>
      </c>
      <c r="H22" t="s">
        <v>22</v>
      </c>
      <c r="I22" t="s">
        <v>14</v>
      </c>
      <c r="K22" t="s">
        <v>15</v>
      </c>
      <c r="L22" t="s">
        <v>16</v>
      </c>
      <c r="W22" t="s">
        <v>13</v>
      </c>
      <c r="Y22" t="s">
        <v>18</v>
      </c>
      <c r="AC22" s="2" t="s">
        <v>36</v>
      </c>
      <c r="AD22" s="2"/>
      <c r="AE22" s="2"/>
      <c r="AF22" s="2"/>
      <c r="AG22" s="2"/>
      <c r="AH22" s="2"/>
    </row>
    <row r="23" spans="1:34" x14ac:dyDescent="0.3">
      <c r="B23">
        <v>0.51</v>
      </c>
      <c r="E23">
        <f>G1</f>
        <v>0.21344400000000002</v>
      </c>
      <c r="F23">
        <f>E23*0.05</f>
        <v>1.0672200000000001E-2</v>
      </c>
      <c r="G23">
        <f>E9</f>
        <v>9.3962789327523624E-2</v>
      </c>
      <c r="H23">
        <f>F9</f>
        <v>3.5147299067675478E-5</v>
      </c>
      <c r="I23">
        <f>E23*E23</f>
        <v>4.5558341136000012E-2</v>
      </c>
      <c r="K23">
        <f>G23*G23</f>
        <v>8.829005778208587E-3</v>
      </c>
      <c r="L23">
        <f>E23*G23</f>
        <v>2.0055793605223953E-2</v>
      </c>
      <c r="N23" t="s">
        <v>12</v>
      </c>
      <c r="P23">
        <f>AVERAGE(E23:E28)</f>
        <v>0.3285384666666667</v>
      </c>
      <c r="T23" t="s">
        <v>17</v>
      </c>
      <c r="U23">
        <f>(P27-P23*P25)/(P26-P25*P25)</f>
        <v>2.3044116432038515</v>
      </c>
      <c r="W23">
        <f>0.45*SQRT((P24-P23*P23)/(P26-P25*P25)-U23*U23)</f>
        <v>0.10308280450810355</v>
      </c>
      <c r="Y23">
        <f>W23/U23</f>
        <v>4.473280839910454E-2</v>
      </c>
      <c r="AC23" t="s">
        <v>30</v>
      </c>
      <c r="AD23" t="s">
        <v>31</v>
      </c>
      <c r="AE23" t="s">
        <v>32</v>
      </c>
      <c r="AF23" t="s">
        <v>33</v>
      </c>
      <c r="AG23" t="s">
        <v>34</v>
      </c>
      <c r="AH23" t="s">
        <v>35</v>
      </c>
    </row>
    <row r="24" spans="1:34" x14ac:dyDescent="0.3">
      <c r="E24">
        <f>G11</f>
        <v>0.232848</v>
      </c>
      <c r="F24">
        <f t="shared" ref="F24:F28" si="33">E24*0.05</f>
        <v>1.1642400000000001E-2</v>
      </c>
      <c r="G24">
        <f>E19</f>
        <v>9.383445130689963E-2</v>
      </c>
      <c r="H24">
        <f>F19</f>
        <v>4.6734959312132495E-5</v>
      </c>
      <c r="I24">
        <f t="shared" ref="I24:I28" si="34">E24*E24</f>
        <v>5.4218191104000002E-2</v>
      </c>
      <c r="K24">
        <f t="shared" ref="K24:K28" si="35">G24*G24</f>
        <v>8.8049042520669182E-3</v>
      </c>
      <c r="L24">
        <f t="shared" ref="L24:L28" si="36">E24*G24</f>
        <v>2.1849164317908964E-2</v>
      </c>
      <c r="N24" t="s">
        <v>14</v>
      </c>
      <c r="P24">
        <f>AVERAGE(I23:I28)</f>
        <v>0.13477062726409336</v>
      </c>
      <c r="T24" t="s">
        <v>5</v>
      </c>
      <c r="U24">
        <f>P23-U23*P25</f>
        <v>-3.0962480737067866E-3</v>
      </c>
      <c r="W24">
        <f>W23*SQRT(P26-P25*P25)</f>
        <v>7.2916595855196239E-3</v>
      </c>
      <c r="Y24">
        <f>W24/U24</f>
        <v>-2.354998505268393</v>
      </c>
      <c r="AC24">
        <v>1.6180000000000001</v>
      </c>
      <c r="AD24">
        <v>1E-3</v>
      </c>
      <c r="AE24">
        <v>3.9100000000000003E-2</v>
      </c>
      <c r="AF24">
        <v>1E-4</v>
      </c>
      <c r="AG24">
        <v>1.1999999999999999E-3</v>
      </c>
      <c r="AH24">
        <v>6.9999999999999999E-4</v>
      </c>
    </row>
    <row r="25" spans="1:34" x14ac:dyDescent="0.3">
      <c r="E25">
        <f>P1</f>
        <v>0.66189200000000004</v>
      </c>
      <c r="F25">
        <f t="shared" si="33"/>
        <v>3.3094600000000002E-2</v>
      </c>
      <c r="G25">
        <f>N9</f>
        <v>0.28233271242885943</v>
      </c>
      <c r="H25">
        <f>O9</f>
        <v>2.1154856318661731E-4</v>
      </c>
      <c r="I25">
        <f t="shared" si="34"/>
        <v>0.43810101966400006</v>
      </c>
      <c r="K25">
        <f t="shared" si="35"/>
        <v>7.9711760507437043E-2</v>
      </c>
      <c r="L25">
        <f t="shared" si="36"/>
        <v>0.18687376369496264</v>
      </c>
      <c r="N25" t="s">
        <v>13</v>
      </c>
      <c r="P25">
        <f>AVERAGE(G23:G28)</f>
        <v>0.14391296612236246</v>
      </c>
    </row>
    <row r="26" spans="1:34" x14ac:dyDescent="0.3">
      <c r="E26">
        <f>P11</f>
        <v>0.16838360000000002</v>
      </c>
      <c r="F26">
        <f t="shared" si="33"/>
        <v>8.4191800000000018E-3</v>
      </c>
      <c r="G26">
        <f>N19</f>
        <v>7.4348860195819405E-2</v>
      </c>
      <c r="H26">
        <f>O19</f>
        <v>2.9340513100165512E-5</v>
      </c>
      <c r="I26">
        <f t="shared" si="34"/>
        <v>2.8353036748960007E-2</v>
      </c>
      <c r="K26">
        <f t="shared" si="35"/>
        <v>5.5277530124174992E-3</v>
      </c>
      <c r="L26">
        <f t="shared" si="36"/>
        <v>1.2519128735668779E-2</v>
      </c>
      <c r="N26" t="s">
        <v>15</v>
      </c>
      <c r="P26">
        <f>AVERAGE(K23:K28)</f>
        <v>2.5714515726850618E-2</v>
      </c>
    </row>
    <row r="27" spans="1:34" x14ac:dyDescent="0.3">
      <c r="E27">
        <f>Y1</f>
        <v>0.32372340000000005</v>
      </c>
      <c r="F27">
        <f t="shared" si="33"/>
        <v>1.6186170000000003E-2</v>
      </c>
      <c r="G27">
        <f>W9</f>
        <v>0.1431670840474735</v>
      </c>
      <c r="H27">
        <f>X9</f>
        <v>8.1595283282499448E-5</v>
      </c>
      <c r="I27">
        <f t="shared" si="34"/>
        <v>0.10479683970756003</v>
      </c>
      <c r="K27">
        <f t="shared" si="35"/>
        <v>2.0496813954656339E-2</v>
      </c>
      <c r="L27">
        <f t="shared" si="36"/>
        <v>4.634653521593389E-2</v>
      </c>
      <c r="N27" t="s">
        <v>16</v>
      </c>
      <c r="P27">
        <f>AVERAGE(L23:L28)</f>
        <v>5.8811239196165321E-2</v>
      </c>
    </row>
    <row r="28" spans="1:34" x14ac:dyDescent="0.3">
      <c r="E28">
        <f>Y11</f>
        <v>0.37093979999999999</v>
      </c>
      <c r="F28">
        <f t="shared" si="33"/>
        <v>1.8546989999999999E-2</v>
      </c>
      <c r="G28">
        <f>W19</f>
        <v>0.17583189942759908</v>
      </c>
      <c r="H28">
        <f>X19</f>
        <v>9.8461137544853346E-5</v>
      </c>
      <c r="I28">
        <f t="shared" si="34"/>
        <v>0.13759633522404</v>
      </c>
      <c r="K28">
        <f t="shared" si="35"/>
        <v>3.0916856856317319E-2</v>
      </c>
      <c r="L28">
        <f t="shared" si="36"/>
        <v>6.522304960729372E-2</v>
      </c>
    </row>
  </sheetData>
  <mergeCells count="14">
    <mergeCell ref="C12:D12"/>
    <mergeCell ref="F12:G12"/>
    <mergeCell ref="AB20:AD20"/>
    <mergeCell ref="AC22:AH22"/>
    <mergeCell ref="U2:V2"/>
    <mergeCell ref="X2:Y2"/>
    <mergeCell ref="U12:V12"/>
    <mergeCell ref="X12:Y12"/>
    <mergeCell ref="L12:M12"/>
    <mergeCell ref="O12:P12"/>
    <mergeCell ref="C2:D2"/>
    <mergeCell ref="F2:G2"/>
    <mergeCell ref="L2:M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2018-11-19T06:14:22Z</dcterms:created>
  <dcterms:modified xsi:type="dcterms:W3CDTF">2018-11-28T19:36:03Z</dcterms:modified>
</cp:coreProperties>
</file>