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360660EC-047F-47E3-9600-4340894114C2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5" i="1" l="1"/>
  <c r="D115" i="1"/>
  <c r="C115" i="1"/>
  <c r="E114" i="1"/>
  <c r="D114" i="1"/>
  <c r="C114" i="1"/>
  <c r="E113" i="1"/>
  <c r="D113" i="1"/>
  <c r="C113" i="1"/>
  <c r="H108" i="1"/>
  <c r="G108" i="1"/>
  <c r="F108" i="1"/>
  <c r="H107" i="1"/>
  <c r="G107" i="1"/>
  <c r="F107" i="1"/>
  <c r="H106" i="1"/>
  <c r="G106" i="1"/>
  <c r="F106" i="1"/>
  <c r="G104" i="1"/>
  <c r="F104" i="1"/>
  <c r="E104" i="1"/>
  <c r="D104" i="1"/>
  <c r="C104" i="1"/>
  <c r="G103" i="1"/>
  <c r="F103" i="1"/>
  <c r="E103" i="1"/>
  <c r="D103" i="1"/>
  <c r="C103" i="1"/>
  <c r="G102" i="1"/>
  <c r="F102" i="1"/>
  <c r="E102" i="1"/>
  <c r="D102" i="1"/>
  <c r="C102" i="1"/>
  <c r="M14" i="1"/>
  <c r="L10" i="1"/>
  <c r="N10" i="1"/>
  <c r="N8" i="1"/>
  <c r="N9" i="1"/>
  <c r="N7" i="1"/>
  <c r="L9" i="1"/>
  <c r="L8" i="1"/>
  <c r="L7" i="1"/>
  <c r="H62" i="1"/>
  <c r="E62" i="1"/>
  <c r="H61" i="1"/>
  <c r="H60" i="1"/>
  <c r="H59" i="1"/>
  <c r="H39" i="1"/>
  <c r="H38" i="1"/>
  <c r="H37" i="1"/>
  <c r="H36" i="1"/>
  <c r="H18" i="1"/>
  <c r="E18" i="1"/>
  <c r="H14" i="1"/>
  <c r="H15" i="1"/>
  <c r="H16" i="1"/>
  <c r="H17" i="1"/>
  <c r="H13" i="1"/>
  <c r="F61" i="1" l="1"/>
  <c r="E61" i="1"/>
  <c r="D61" i="1"/>
  <c r="F60" i="1"/>
  <c r="E60" i="1"/>
  <c r="D60" i="1"/>
  <c r="F59" i="1"/>
  <c r="E59" i="1"/>
  <c r="D59" i="1"/>
  <c r="C55" i="1"/>
  <c r="C54" i="1"/>
  <c r="C53" i="1"/>
  <c r="E52" i="1"/>
  <c r="D39" i="1"/>
  <c r="E39" i="1"/>
  <c r="F39" i="1"/>
  <c r="F40" i="1"/>
  <c r="E40" i="1"/>
  <c r="D40" i="1"/>
  <c r="F38" i="1"/>
  <c r="E38" i="1"/>
  <c r="D38" i="1"/>
  <c r="F37" i="1"/>
  <c r="E37" i="1"/>
  <c r="D37" i="1"/>
  <c r="F36" i="1"/>
  <c r="E36" i="1"/>
  <c r="D36" i="1"/>
  <c r="F14" i="1"/>
  <c r="F15" i="1"/>
  <c r="F16" i="1"/>
  <c r="F17" i="1"/>
  <c r="F13" i="1"/>
  <c r="D14" i="1"/>
  <c r="E14" i="1"/>
  <c r="D15" i="1"/>
  <c r="E15" i="1"/>
  <c r="D16" i="1"/>
  <c r="E16" i="1"/>
  <c r="D17" i="1"/>
  <c r="E17" i="1"/>
  <c r="E13" i="1"/>
  <c r="D13" i="1"/>
  <c r="E6" i="1"/>
  <c r="C9" i="1" s="1"/>
  <c r="E41" i="1" l="1"/>
  <c r="H40" i="1"/>
  <c r="H41" i="1" s="1"/>
  <c r="I61" i="1"/>
  <c r="G61" i="1"/>
  <c r="I60" i="1"/>
  <c r="G60" i="1"/>
  <c r="I59" i="1"/>
  <c r="G59" i="1"/>
  <c r="F62" i="1"/>
  <c r="G40" i="1"/>
  <c r="I40" i="1"/>
  <c r="I39" i="1"/>
  <c r="G39" i="1"/>
  <c r="I38" i="1"/>
  <c r="G38" i="1"/>
  <c r="I37" i="1"/>
  <c r="G37" i="1"/>
  <c r="I36" i="1"/>
  <c r="F41" i="1"/>
  <c r="G36" i="1"/>
  <c r="I17" i="1"/>
  <c r="G17" i="1"/>
  <c r="G16" i="1"/>
  <c r="I16" i="1"/>
  <c r="G15" i="1"/>
  <c r="I15" i="1"/>
  <c r="I14" i="1"/>
  <c r="G14" i="1"/>
  <c r="F18" i="1"/>
  <c r="I13" i="1"/>
  <c r="G13" i="1"/>
  <c r="C56" i="1"/>
  <c r="E29" i="1"/>
  <c r="C8" i="1"/>
  <c r="C7" i="1"/>
  <c r="C10" i="1" s="1"/>
  <c r="E8" i="1" s="1"/>
  <c r="E9" i="1" s="1"/>
  <c r="G18" i="1" l="1"/>
  <c r="G62" i="1"/>
  <c r="I62" i="1"/>
  <c r="E66" i="1" s="1"/>
  <c r="K9" i="1" s="1"/>
  <c r="M9" i="1" s="1"/>
  <c r="G41" i="1"/>
  <c r="I41" i="1"/>
  <c r="E45" i="1" s="1"/>
  <c r="K8" i="1" s="1"/>
  <c r="M8" i="1" s="1"/>
  <c r="I18" i="1"/>
  <c r="E22" i="1" s="1"/>
  <c r="K7" i="1" s="1"/>
  <c r="E54" i="1"/>
  <c r="E55" i="1" s="1"/>
  <c r="C31" i="1"/>
  <c r="C32" i="1"/>
  <c r="C30" i="1"/>
  <c r="O9" i="1" l="1"/>
  <c r="F66" i="1"/>
  <c r="G66" i="1" s="1"/>
  <c r="F45" i="1"/>
  <c r="G45" i="1" s="1"/>
  <c r="K10" i="1"/>
  <c r="O8" i="1"/>
  <c r="O7" i="1"/>
  <c r="F22" i="1"/>
  <c r="G22" i="1" s="1"/>
  <c r="M7" i="1"/>
  <c r="M10" i="1" s="1"/>
  <c r="C33" i="1"/>
  <c r="E31" i="1" s="1"/>
  <c r="E32" i="1" s="1"/>
  <c r="O10" i="1" l="1"/>
  <c r="L14" i="1" s="1"/>
  <c r="L16" i="1" s="1"/>
  <c r="L15" i="1" l="1"/>
  <c r="M15" i="1"/>
  <c r="N15" i="1" l="1"/>
  <c r="N14" i="1"/>
</calcChain>
</file>

<file path=xl/sharedStrings.xml><?xml version="1.0" encoding="utf-8"?>
<sst xmlns="http://schemas.openxmlformats.org/spreadsheetml/2006/main" count="100" uniqueCount="47">
  <si>
    <t>Влажность</t>
  </si>
  <si>
    <t>Комната</t>
  </si>
  <si>
    <t>p, Па</t>
  </si>
  <si>
    <t>T, C</t>
  </si>
  <si>
    <t>c p theor</t>
  </si>
  <si>
    <t>Delta V</t>
  </si>
  <si>
    <t>Delta T</t>
  </si>
  <si>
    <t>rho</t>
  </si>
  <si>
    <t>N0</t>
  </si>
  <si>
    <t>I0</t>
  </si>
  <si>
    <t>Delta U, мкВ</t>
  </si>
  <si>
    <t>I, мА</t>
  </si>
  <si>
    <t>U, В</t>
  </si>
  <si>
    <t>R, Ом</t>
  </si>
  <si>
    <t>N, Вт</t>
  </si>
  <si>
    <t>Delta T, K</t>
  </si>
  <si>
    <t>q</t>
  </si>
  <si>
    <t>T^2</t>
  </si>
  <si>
    <t>N^2</t>
  </si>
  <si>
    <t>TN</t>
  </si>
  <si>
    <t>y = kx</t>
  </si>
  <si>
    <t>k</t>
  </si>
  <si>
    <t>sigma k</t>
  </si>
  <si>
    <t>epsilon</t>
  </si>
  <si>
    <t>k^2</t>
  </si>
  <si>
    <t>q^2</t>
  </si>
  <si>
    <t>kq</t>
  </si>
  <si>
    <t>y = a + bx</t>
  </si>
  <si>
    <t>a</t>
  </si>
  <si>
    <t>val</t>
  </si>
  <si>
    <t>sigma</t>
  </si>
  <si>
    <t>b</t>
  </si>
  <si>
    <t>k = cpq+a</t>
  </si>
  <si>
    <t> $q_1 = 0,095 \pm0,002$, г/c</t>
  </si>
  <si>
    <t>$I$, мА</t>
  </si>
  <si>
    <t>$\sigma_I$, мА</t>
  </si>
  <si>
    <t>$U$, В</t>
  </si>
  <si>
    <t>$\sigma_U$, В</t>
  </si>
  <si>
    <t>$\Delta U_{thermopara}$, мкВ</t>
  </si>
  <si>
    <t>$\sigma_{\Delta U_{thermopara}}$, мкВ</t>
  </si>
  <si>
    <t>$R$, Ом</t>
  </si>
  <si>
    <t>$\sigma_R$, Ом</t>
  </si>
  <si>
    <t>$N$, Вт</t>
  </si>
  <si>
    <t>$\sigma_N$, Вт</t>
  </si>
  <si>
    <t>$\Delta T, K$</t>
  </si>
  <si>
    <t>$\sigma_{Delta_T}, K$</t>
  </si>
  <si>
    <t> $q_2 = 0,033 \pm0,001$, г/c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</si>
</sst>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2" xfId="0" applyFill="1" applyBorder="1"/>
    <xf numFmtId="0" fontId="0" fillId="0" borderId="7" xfId="0" applyFill="1" applyBorder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1" xfId="0" applyFill="1" applyBorder="1"/>
    <xf numFmtId="0" fontId="0" fillId="0" borderId="3" xfId="0" applyFill="1" applyBorder="1"/>
    <xf numFmtId="167" fontId="0" fillId="0" borderId="0" xfId="0" applyNumberFormat="1"/>
    <xf numFmtId="0" fontId="0" fillId="0" borderId="1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3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 applyAlignment="1">
      <alignment horizontal="center"/>
    </xf>
    <xf numFmtId="0" fontId="0" fillId="2" borderId="0" xfId="0" applyFill="1" applyBorder="1"/>
    <xf numFmtId="0" fontId="0" fillId="2" borderId="5" xfId="0" applyFill="1" applyBorder="1"/>
    <xf numFmtId="9" fontId="0" fillId="2" borderId="5" xfId="0" applyNumberFormat="1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1" xfId="0" applyFill="1" applyBorder="1"/>
    <xf numFmtId="0" fontId="0" fillId="2" borderId="4" xfId="0" applyFill="1" applyBorder="1"/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6"/>
  <sheetViews>
    <sheetView tabSelected="1" zoomScale="102" zoomScaleNormal="115" workbookViewId="0">
      <selection activeCell="K6" sqref="K6:L9"/>
    </sheetView>
  </sheetViews>
  <sheetFormatPr defaultRowHeight="14.4" x14ac:dyDescent="0.3"/>
  <cols>
    <col min="1" max="1" width="15.5546875" customWidth="1"/>
    <col min="2" max="2" width="10.88671875" customWidth="1"/>
    <col min="3" max="3" width="12.5546875" customWidth="1"/>
    <col min="5" max="5" width="10.77734375" customWidth="1"/>
    <col min="10" max="10" width="14.21875" customWidth="1"/>
  </cols>
  <sheetData>
    <row r="1" spans="1:15" ht="15" thickTop="1" x14ac:dyDescent="0.3">
      <c r="A1" s="30" t="s">
        <v>1</v>
      </c>
      <c r="B1" s="31" t="s">
        <v>2</v>
      </c>
      <c r="C1" s="32">
        <v>98340</v>
      </c>
    </row>
    <row r="2" spans="1:15" x14ac:dyDescent="0.3">
      <c r="A2" s="33"/>
      <c r="B2" s="34" t="s">
        <v>3</v>
      </c>
      <c r="C2" s="35">
        <v>25.2</v>
      </c>
    </row>
    <row r="3" spans="1:15" x14ac:dyDescent="0.3">
      <c r="A3" s="33"/>
      <c r="B3" s="34" t="s">
        <v>0</v>
      </c>
      <c r="C3" s="36">
        <v>0.71</v>
      </c>
    </row>
    <row r="4" spans="1:15" ht="15" thickBot="1" x14ac:dyDescent="0.35">
      <c r="A4" s="5"/>
      <c r="B4" s="1"/>
      <c r="C4" s="6"/>
      <c r="E4" s="1"/>
    </row>
    <row r="5" spans="1:15" ht="15.6" thickTop="1" thickBot="1" x14ac:dyDescent="0.35">
      <c r="A5" s="7"/>
      <c r="B5" s="37" t="s">
        <v>4</v>
      </c>
      <c r="C5" s="38">
        <v>29.3</v>
      </c>
      <c r="K5" s="23" t="s">
        <v>32</v>
      </c>
      <c r="L5" s="29"/>
      <c r="M5" s="3"/>
      <c r="N5" s="3"/>
      <c r="O5" s="4"/>
    </row>
    <row r="6" spans="1:15" ht="15" thickTop="1" x14ac:dyDescent="0.3">
      <c r="A6" s="39" t="s">
        <v>5</v>
      </c>
      <c r="B6" s="31" t="s">
        <v>6</v>
      </c>
      <c r="C6" s="31" t="s">
        <v>16</v>
      </c>
      <c r="D6" s="31" t="s">
        <v>7</v>
      </c>
      <c r="E6" s="31">
        <f>29/1000*C1/8.31/(C2+273.15)</f>
        <v>1.150273556304561</v>
      </c>
      <c r="F6" s="4"/>
      <c r="K6" s="2" t="s">
        <v>21</v>
      </c>
      <c r="L6" s="3" t="s">
        <v>16</v>
      </c>
      <c r="M6" s="3" t="s">
        <v>24</v>
      </c>
      <c r="N6" s="3" t="s">
        <v>25</v>
      </c>
      <c r="O6" s="4" t="s">
        <v>26</v>
      </c>
    </row>
    <row r="7" spans="1:15" x14ac:dyDescent="0.3">
      <c r="A7" s="40">
        <v>5</v>
      </c>
      <c r="B7" s="34">
        <v>60.58</v>
      </c>
      <c r="C7" s="34">
        <f>A7/B7*$E$6</f>
        <v>9.493839190364485E-2</v>
      </c>
      <c r="D7" s="1"/>
      <c r="E7" s="1"/>
      <c r="F7" s="6"/>
      <c r="K7" s="5">
        <f>1/E22</f>
        <v>0.11040766320027998</v>
      </c>
      <c r="L7" s="1">
        <f>C10</f>
        <v>9.4518648007072117E-2</v>
      </c>
      <c r="M7" s="1">
        <f>K7*K7</f>
        <v>1.2189852093346457E-2</v>
      </c>
      <c r="N7" s="1">
        <f>L7*L7</f>
        <v>8.9337748210847976E-3</v>
      </c>
      <c r="O7" s="6">
        <f>L7*K7</f>
        <v>1.0435583055310633E-2</v>
      </c>
    </row>
    <row r="8" spans="1:15" x14ac:dyDescent="0.3">
      <c r="A8" s="40">
        <v>5</v>
      </c>
      <c r="B8" s="34">
        <v>61.17</v>
      </c>
      <c r="C8" s="34">
        <f t="shared" ref="C8:C9" si="0">A8/B8*$E$6</f>
        <v>9.4022687289893811E-2</v>
      </c>
      <c r="D8" s="1" t="s">
        <v>8</v>
      </c>
      <c r="E8" s="1">
        <f>C5*C10*1/29</f>
        <v>9.5496427124386662E-2</v>
      </c>
      <c r="F8" s="6"/>
      <c r="K8" s="5">
        <f>1/E45</f>
        <v>4.3848844573711014E-2</v>
      </c>
      <c r="L8" s="1">
        <f>C33</f>
        <v>3.3198342828410096E-2</v>
      </c>
      <c r="M8" s="1">
        <f t="shared" ref="M8:M9" si="1">K8*K8</f>
        <v>1.9227211704494658E-3</v>
      </c>
      <c r="N8" s="1">
        <f t="shared" ref="N8:N9" si="2">L8*L8</f>
        <v>1.1021299665526481E-3</v>
      </c>
      <c r="O8" s="6">
        <f t="shared" ref="O8:O9" si="3">L8*K8</f>
        <v>1.455708974787728E-3</v>
      </c>
    </row>
    <row r="9" spans="1:15" ht="15" thickBot="1" x14ac:dyDescent="0.35">
      <c r="A9" s="40">
        <v>5</v>
      </c>
      <c r="B9" s="34">
        <v>60.8</v>
      </c>
      <c r="C9" s="34">
        <f t="shared" si="0"/>
        <v>9.4594864827677719E-2</v>
      </c>
      <c r="D9" s="1" t="s">
        <v>9</v>
      </c>
      <c r="E9" s="1">
        <f>SQRT(E8/35)</f>
        <v>5.2234752286299278E-2</v>
      </c>
      <c r="F9" s="6"/>
      <c r="K9" s="7">
        <f>1/E66</f>
        <v>2.7628476709707167E-2</v>
      </c>
      <c r="L9" s="8">
        <f>C56</f>
        <v>1.8909458249315877E-2</v>
      </c>
      <c r="M9" s="8">
        <f t="shared" si="1"/>
        <v>7.6333272529883133E-4</v>
      </c>
      <c r="N9" s="8">
        <f t="shared" si="2"/>
        <v>3.5756761128262027E-4</v>
      </c>
      <c r="O9" s="9">
        <f t="shared" si="3"/>
        <v>5.2243952683440377E-4</v>
      </c>
    </row>
    <row r="10" spans="1:15" ht="15.6" thickTop="1" thickBot="1" x14ac:dyDescent="0.35">
      <c r="A10" s="7"/>
      <c r="B10" s="8"/>
      <c r="C10" s="8">
        <f>AVERAGE(C7:C9)</f>
        <v>9.4518648007072117E-2</v>
      </c>
      <c r="D10" s="8"/>
      <c r="E10" s="8"/>
      <c r="F10" s="9"/>
      <c r="K10" s="25">
        <f>AVERAGE(K7:K9)</f>
        <v>6.0628328161232724E-2</v>
      </c>
      <c r="L10" s="26">
        <f t="shared" ref="L10:O10" si="4">AVERAGE(L7:L9)</f>
        <v>4.8875483028266033E-2</v>
      </c>
      <c r="M10" s="26">
        <f t="shared" si="4"/>
        <v>4.9586353296982516E-3</v>
      </c>
      <c r="N10" s="26">
        <f t="shared" si="4"/>
        <v>3.4644907996400219E-3</v>
      </c>
      <c r="O10" s="27">
        <f t="shared" si="4"/>
        <v>4.1379105189775882E-3</v>
      </c>
    </row>
    <row r="11" spans="1:15" ht="15.6" thickTop="1" thickBot="1" x14ac:dyDescent="0.35">
      <c r="A11" s="14"/>
      <c r="B11" s="15"/>
      <c r="C11" s="15"/>
      <c r="D11" s="15"/>
      <c r="E11" s="15"/>
      <c r="F11" s="16"/>
    </row>
    <row r="12" spans="1:15" ht="15.6" thickTop="1" thickBot="1" x14ac:dyDescent="0.35">
      <c r="A12" s="5" t="s">
        <v>11</v>
      </c>
      <c r="B12" s="1" t="s">
        <v>12</v>
      </c>
      <c r="C12" s="1" t="s">
        <v>10</v>
      </c>
      <c r="D12" s="1" t="s">
        <v>13</v>
      </c>
      <c r="E12" s="1" t="s">
        <v>14</v>
      </c>
      <c r="F12" s="6" t="s">
        <v>15</v>
      </c>
      <c r="G12" s="20" t="s">
        <v>17</v>
      </c>
      <c r="H12" s="11" t="s">
        <v>18</v>
      </c>
      <c r="I12" s="21" t="s">
        <v>19</v>
      </c>
      <c r="K12" s="28" t="s">
        <v>27</v>
      </c>
      <c r="L12" s="3"/>
      <c r="M12" s="3"/>
      <c r="N12" s="4"/>
    </row>
    <row r="13" spans="1:15" ht="15" thickTop="1" x14ac:dyDescent="0.3">
      <c r="A13" s="5">
        <v>88.21</v>
      </c>
      <c r="B13" s="1">
        <v>3.081</v>
      </c>
      <c r="C13" s="1">
        <v>116</v>
      </c>
      <c r="D13" s="1">
        <f>B13/A13*1000</f>
        <v>34.928012696973134</v>
      </c>
      <c r="E13" s="1">
        <f>B13*A13/1000</f>
        <v>0.27177500999999993</v>
      </c>
      <c r="F13" s="6">
        <f>C13/40.7</f>
        <v>2.8501228501228497</v>
      </c>
      <c r="G13" s="5">
        <f>F13*F13</f>
        <v>8.1232002607923963</v>
      </c>
      <c r="H13" s="1">
        <f>E13*E13</f>
        <v>7.3861656060500061E-2</v>
      </c>
      <c r="I13" s="6">
        <f>E13*F13</f>
        <v>0.77459216609336579</v>
      </c>
      <c r="K13" s="2"/>
      <c r="L13" s="3" t="s">
        <v>29</v>
      </c>
      <c r="M13" s="3" t="s">
        <v>30</v>
      </c>
      <c r="N13" s="4" t="s">
        <v>23</v>
      </c>
    </row>
    <row r="14" spans="1:15" x14ac:dyDescent="0.3">
      <c r="A14" s="5">
        <v>98.69</v>
      </c>
      <c r="B14" s="1">
        <v>3.448</v>
      </c>
      <c r="C14" s="1">
        <v>142</v>
      </c>
      <c r="D14" s="1">
        <f t="shared" ref="D14:D17" si="5">B14/A14*1000</f>
        <v>34.937683655892187</v>
      </c>
      <c r="E14" s="1">
        <f t="shared" ref="E14:E17" si="6">B14*A14/1000</f>
        <v>0.34028311999999999</v>
      </c>
      <c r="F14" s="6">
        <f t="shared" ref="F14:F17" si="7">C14/40.7</f>
        <v>3.4889434889434887</v>
      </c>
      <c r="G14" s="5">
        <f t="shared" ref="G14:G17" si="8">F14*F14</f>
        <v>12.172726669041165</v>
      </c>
      <c r="H14" s="1">
        <f t="shared" ref="H14:H18" si="9">E14*E14</f>
        <v>0.1157926017569344</v>
      </c>
      <c r="I14" s="6">
        <f t="shared" ref="I14:I17" si="10">E14*F14</f>
        <v>1.1872285759213759</v>
      </c>
      <c r="K14" s="5" t="s">
        <v>31</v>
      </c>
      <c r="L14" s="1">
        <f>(O10-L10*K10)/(N10-L10*L10)</f>
        <v>1.0920291577371726</v>
      </c>
      <c r="M14" s="1">
        <f>SQRT(((M10-K10*K10)/(N10-L10*L10)-L14*L14)/3)</f>
        <v>4.5022387059758286E-3</v>
      </c>
      <c r="N14" s="6">
        <f>M14/L14</f>
        <v>4.1228191336072535E-3</v>
      </c>
    </row>
    <row r="15" spans="1:15" ht="15" thickBot="1" x14ac:dyDescent="0.35">
      <c r="A15" s="5">
        <v>128.38</v>
      </c>
      <c r="B15" s="1">
        <v>4.4880000000000004</v>
      </c>
      <c r="C15" s="1">
        <v>217</v>
      </c>
      <c r="D15" s="1">
        <f t="shared" si="5"/>
        <v>34.958716310951871</v>
      </c>
      <c r="E15" s="1">
        <f t="shared" si="6"/>
        <v>0.57616944000000003</v>
      </c>
      <c r="F15" s="6">
        <f t="shared" si="7"/>
        <v>5.3316953316953315</v>
      </c>
      <c r="G15" s="5">
        <f t="shared" si="8"/>
        <v>28.42697511002179</v>
      </c>
      <c r="H15" s="1">
        <f t="shared" si="9"/>
        <v>0.33197122358991366</v>
      </c>
      <c r="I15" s="6">
        <f t="shared" si="10"/>
        <v>3.0719599135135134</v>
      </c>
      <c r="K15" s="7" t="s">
        <v>28</v>
      </c>
      <c r="L15" s="8">
        <f>K10-L14*L10</f>
        <v>7.2548755958778965E-3</v>
      </c>
      <c r="M15" s="8">
        <f>M14*SQRT(N10-L10*L10)</f>
        <v>1.4766230794831063E-4</v>
      </c>
      <c r="N15" s="9">
        <f>M15/L15</f>
        <v>2.0353527224120836E-2</v>
      </c>
    </row>
    <row r="16" spans="1:15" ht="15.6" thickTop="1" thickBot="1" x14ac:dyDescent="0.35">
      <c r="A16" s="5">
        <v>150.30000000000001</v>
      </c>
      <c r="B16" s="1">
        <v>5.2569999999999997</v>
      </c>
      <c r="C16" s="1">
        <v>287</v>
      </c>
      <c r="D16" s="1">
        <f t="shared" si="5"/>
        <v>34.976713240186285</v>
      </c>
      <c r="E16" s="1">
        <f t="shared" si="6"/>
        <v>0.79012710000000008</v>
      </c>
      <c r="F16" s="6">
        <f t="shared" si="7"/>
        <v>7.0515970515970512</v>
      </c>
      <c r="G16" s="5">
        <f t="shared" si="8"/>
        <v>49.725020978092225</v>
      </c>
      <c r="H16" s="1">
        <f t="shared" si="9"/>
        <v>0.62430083415441018</v>
      </c>
      <c r="I16" s="6">
        <f t="shared" si="10"/>
        <v>5.5716579287469292</v>
      </c>
      <c r="L16" s="24">
        <f>L14*29/8.31</f>
        <v>3.8109320787458487</v>
      </c>
    </row>
    <row r="17" spans="1:9" ht="15.6" thickTop="1" thickBot="1" x14ac:dyDescent="0.35">
      <c r="A17" s="7">
        <v>174.03</v>
      </c>
      <c r="B17" s="8">
        <v>6.09</v>
      </c>
      <c r="C17" s="8">
        <v>382</v>
      </c>
      <c r="D17" s="8">
        <f t="shared" si="5"/>
        <v>34.99396655749009</v>
      </c>
      <c r="E17" s="1">
        <f t="shared" si="6"/>
        <v>1.0598426999999999</v>
      </c>
      <c r="F17" s="6">
        <f t="shared" si="7"/>
        <v>9.385749385749385</v>
      </c>
      <c r="G17" s="7">
        <f t="shared" si="8"/>
        <v>88.092291532094961</v>
      </c>
      <c r="H17" s="8">
        <f t="shared" si="9"/>
        <v>1.1232665487432898</v>
      </c>
      <c r="I17" s="9">
        <f t="shared" si="10"/>
        <v>9.9474179705159695</v>
      </c>
    </row>
    <row r="18" spans="1:9" ht="15.6" thickTop="1" thickBot="1" x14ac:dyDescent="0.35">
      <c r="E18" s="17">
        <f>AVERAGE(E13:E17)</f>
        <v>0.60763947399999996</v>
      </c>
      <c r="F18" s="18">
        <f t="shared" ref="F18:I18" si="11">AVERAGE(F13:F17)</f>
        <v>5.621621621621621</v>
      </c>
      <c r="G18" s="18">
        <f t="shared" si="11"/>
        <v>37.30804291000851</v>
      </c>
      <c r="H18" s="18">
        <f t="shared" si="11"/>
        <v>0.45383857286100965</v>
      </c>
      <c r="I18" s="19">
        <f t="shared" si="11"/>
        <v>4.1105713109582309</v>
      </c>
    </row>
    <row r="19" spans="1:9" ht="15.6" thickTop="1" thickBot="1" x14ac:dyDescent="0.35"/>
    <row r="20" spans="1:9" ht="15.6" thickTop="1" thickBot="1" x14ac:dyDescent="0.35">
      <c r="E20" s="24" t="s">
        <v>20</v>
      </c>
      <c r="F20" s="3"/>
      <c r="G20" s="4"/>
    </row>
    <row r="21" spans="1:9" ht="15" thickTop="1" x14ac:dyDescent="0.3">
      <c r="E21" s="5" t="s">
        <v>21</v>
      </c>
      <c r="F21" s="1" t="s">
        <v>22</v>
      </c>
      <c r="G21" s="6" t="s">
        <v>23</v>
      </c>
    </row>
    <row r="22" spans="1:9" ht="15" thickBot="1" x14ac:dyDescent="0.35">
      <c r="E22" s="7">
        <f>I18/H18</f>
        <v>9.0573423167737523</v>
      </c>
      <c r="F22" s="8">
        <f>SQRT((G18*H18-I18*I18)/(5*H18*H18))</f>
        <v>0.18443733411659233</v>
      </c>
      <c r="G22" s="9">
        <f>F22/E22</f>
        <v>2.0363295066702234E-2</v>
      </c>
    </row>
    <row r="23" spans="1:9" ht="15" thickTop="1" x14ac:dyDescent="0.3"/>
    <row r="28" spans="1:9" ht="15" thickBot="1" x14ac:dyDescent="0.35"/>
    <row r="29" spans="1:9" ht="15" thickTop="1" x14ac:dyDescent="0.3">
      <c r="A29" s="2" t="s">
        <v>5</v>
      </c>
      <c r="B29" s="3" t="s">
        <v>6</v>
      </c>
      <c r="C29" s="3" t="s">
        <v>16</v>
      </c>
      <c r="D29" s="3" t="s">
        <v>7</v>
      </c>
      <c r="E29" s="11">
        <f>E6</f>
        <v>1.150273556304561</v>
      </c>
      <c r="F29" s="4"/>
    </row>
    <row r="30" spans="1:9" x14ac:dyDescent="0.3">
      <c r="A30" s="5">
        <v>2</v>
      </c>
      <c r="B30" s="10">
        <v>70.66</v>
      </c>
      <c r="C30" s="1">
        <f>$E$29*A30/B30</f>
        <v>3.2557983478759156E-2</v>
      </c>
      <c r="D30" s="1"/>
      <c r="E30" s="1"/>
      <c r="F30" s="6"/>
    </row>
    <row r="31" spans="1:9" x14ac:dyDescent="0.3">
      <c r="A31" s="5">
        <v>2</v>
      </c>
      <c r="B31" s="10">
        <v>68.06</v>
      </c>
      <c r="C31" s="1">
        <f>$E$29*A31/B31</f>
        <v>3.3801750111800206E-2</v>
      </c>
      <c r="D31" s="1" t="s">
        <v>8</v>
      </c>
      <c r="E31" s="1">
        <f>C5*C33/29</f>
        <v>3.3541773961117786E-2</v>
      </c>
      <c r="F31" s="6"/>
    </row>
    <row r="32" spans="1:9" x14ac:dyDescent="0.3">
      <c r="A32" s="5">
        <v>3</v>
      </c>
      <c r="B32" s="10">
        <v>103.83</v>
      </c>
      <c r="C32" s="1">
        <f>$E$29*A32/B32</f>
        <v>3.3235294894670933E-2</v>
      </c>
      <c r="D32" s="1" t="s">
        <v>9</v>
      </c>
      <c r="E32" s="1">
        <f>SQRT(E31/35)</f>
        <v>3.0957008881496925E-2</v>
      </c>
      <c r="F32" s="6"/>
    </row>
    <row r="33" spans="1:9" ht="15" thickBot="1" x14ac:dyDescent="0.35">
      <c r="A33" s="7"/>
      <c r="B33" s="8"/>
      <c r="C33" s="8">
        <f>AVERAGE(C30:C32)</f>
        <v>3.3198342828410096E-2</v>
      </c>
      <c r="D33" s="8"/>
      <c r="E33" s="8"/>
      <c r="F33" s="9"/>
    </row>
    <row r="34" spans="1:9" ht="15.6" thickTop="1" thickBot="1" x14ac:dyDescent="0.35">
      <c r="A34" s="14"/>
      <c r="B34" s="15"/>
      <c r="C34" s="15"/>
      <c r="D34" s="15"/>
      <c r="E34" s="15"/>
      <c r="F34" s="16"/>
    </row>
    <row r="35" spans="1:9" ht="15" thickTop="1" x14ac:dyDescent="0.3">
      <c r="A35" s="5" t="s">
        <v>11</v>
      </c>
      <c r="B35" s="1" t="s">
        <v>12</v>
      </c>
      <c r="C35" s="1" t="s">
        <v>10</v>
      </c>
      <c r="D35" s="1" t="s">
        <v>13</v>
      </c>
      <c r="E35" s="1" t="s">
        <v>14</v>
      </c>
      <c r="F35" s="6" t="s">
        <v>15</v>
      </c>
      <c r="G35" s="20" t="s">
        <v>17</v>
      </c>
      <c r="H35" s="11" t="s">
        <v>18</v>
      </c>
      <c r="I35" s="21" t="s">
        <v>19</v>
      </c>
    </row>
    <row r="36" spans="1:9" x14ac:dyDescent="0.3">
      <c r="A36" s="5">
        <v>42.64</v>
      </c>
      <c r="B36" s="1">
        <v>1.5</v>
      </c>
      <c r="C36" s="1">
        <v>105</v>
      </c>
      <c r="D36" s="1">
        <f>B36/A36*1000</f>
        <v>35.178236397748591</v>
      </c>
      <c r="E36" s="1">
        <f>B36*A36/1000</f>
        <v>6.3960000000000003E-2</v>
      </c>
      <c r="F36" s="6">
        <f>C36/40.7</f>
        <v>2.5798525798525795</v>
      </c>
      <c r="G36" s="5">
        <f>F36*F36</f>
        <v>6.6556393337720099</v>
      </c>
      <c r="H36" s="1">
        <f>E36*E36</f>
        <v>4.0908816000000004E-3</v>
      </c>
      <c r="I36" s="6">
        <f>E36*F36</f>
        <v>0.16500737100737101</v>
      </c>
    </row>
    <row r="37" spans="1:9" x14ac:dyDescent="0.3">
      <c r="A37" s="5">
        <v>55.77</v>
      </c>
      <c r="B37" s="1">
        <v>1.968</v>
      </c>
      <c r="C37" s="1">
        <v>122</v>
      </c>
      <c r="D37" s="1">
        <f t="shared" ref="D37:D38" si="12">B37/A37*1000</f>
        <v>35.287789133942972</v>
      </c>
      <c r="E37" s="1">
        <f t="shared" ref="E37:E38" si="13">B37*A37/1000</f>
        <v>0.10975536000000001</v>
      </c>
      <c r="F37" s="6">
        <f t="shared" ref="F37:F38" si="14">C37/40.7</f>
        <v>2.9975429975429972</v>
      </c>
      <c r="G37" s="5">
        <f t="shared" ref="G37:G40" si="15">F37*F37</f>
        <v>8.9852640221190576</v>
      </c>
      <c r="H37" s="1">
        <f t="shared" ref="H37:H41" si="16">E37*E37</f>
        <v>1.2046239048729602E-2</v>
      </c>
      <c r="I37" s="6">
        <f t="shared" ref="I37:I40" si="17">E37*F37</f>
        <v>0.32899641081081082</v>
      </c>
    </row>
    <row r="38" spans="1:9" x14ac:dyDescent="0.3">
      <c r="A38" s="5">
        <v>65.099999999999994</v>
      </c>
      <c r="B38" s="1">
        <v>2.2970000000000002</v>
      </c>
      <c r="C38" s="1">
        <v>157</v>
      </c>
      <c r="D38" s="1">
        <f t="shared" si="12"/>
        <v>35.284178187404002</v>
      </c>
      <c r="E38" s="1">
        <f t="shared" si="13"/>
        <v>0.14953469999999999</v>
      </c>
      <c r="F38" s="6">
        <f t="shared" si="14"/>
        <v>3.8574938574938571</v>
      </c>
      <c r="G38" s="5">
        <f t="shared" si="15"/>
        <v>14.880258860602838</v>
      </c>
      <c r="H38" s="1">
        <f t="shared" si="16"/>
        <v>2.2360626504089997E-2</v>
      </c>
      <c r="I38" s="6">
        <f t="shared" si="17"/>
        <v>0.57682918673218664</v>
      </c>
    </row>
    <row r="39" spans="1:9" x14ac:dyDescent="0.3">
      <c r="A39" s="5">
        <v>99.74</v>
      </c>
      <c r="B39" s="1">
        <v>3.5219999999999998</v>
      </c>
      <c r="C39" s="10">
        <v>320</v>
      </c>
      <c r="D39" s="1">
        <f t="shared" ref="D39" si="18">B39/A39*1000</f>
        <v>35.31181070784038</v>
      </c>
      <c r="E39" s="1">
        <f t="shared" ref="E39" si="19">B39*A39/1000</f>
        <v>0.35128427999999995</v>
      </c>
      <c r="F39" s="6">
        <f t="shared" ref="F39" si="20">C39/40.7</f>
        <v>7.8624078624078617</v>
      </c>
      <c r="G39" s="5">
        <f t="shared" si="15"/>
        <v>61.817457394852958</v>
      </c>
      <c r="H39" s="1">
        <f t="shared" si="16"/>
        <v>0.12340064537511837</v>
      </c>
      <c r="I39" s="6">
        <f t="shared" si="17"/>
        <v>2.7619402850122845</v>
      </c>
    </row>
    <row r="40" spans="1:9" ht="15" thickBot="1" x14ac:dyDescent="0.35">
      <c r="A40" s="7">
        <v>110</v>
      </c>
      <c r="B40" s="12">
        <v>3.8540000000000001</v>
      </c>
      <c r="C40" s="12">
        <v>380</v>
      </c>
      <c r="D40" s="8">
        <f>B40/A40*1000</f>
        <v>35.036363636363639</v>
      </c>
      <c r="E40" s="8">
        <f>B40*A40/1000</f>
        <v>0.42393999999999998</v>
      </c>
      <c r="F40" s="9">
        <f>C40/40.7</f>
        <v>9.3366093366093352</v>
      </c>
      <c r="G40" s="7">
        <f t="shared" si="15"/>
        <v>87.17227390446061</v>
      </c>
      <c r="H40" s="8">
        <f t="shared" si="16"/>
        <v>0.17972512359999998</v>
      </c>
      <c r="I40" s="9">
        <f t="shared" si="17"/>
        <v>3.9581621621621612</v>
      </c>
    </row>
    <row r="41" spans="1:9" ht="15.6" thickTop="1" thickBot="1" x14ac:dyDescent="0.35">
      <c r="A41" s="1"/>
      <c r="B41" s="10"/>
      <c r="C41" s="10"/>
      <c r="D41" s="1"/>
      <c r="E41" s="17">
        <f>AVERAGE(E36:E40)</f>
        <v>0.21969486799999999</v>
      </c>
      <c r="F41" s="18">
        <f t="shared" ref="F41" si="21">AVERAGE(F36:F40)</f>
        <v>5.3267813267813269</v>
      </c>
      <c r="G41" s="18">
        <f t="shared" ref="G41" si="22">AVERAGE(G36:G40)</f>
        <v>35.902178703161496</v>
      </c>
      <c r="H41" s="18">
        <f t="shared" ref="H41" si="23">AVERAGE(H36:H40)</f>
        <v>6.8324703225587591E-2</v>
      </c>
      <c r="I41" s="19">
        <f t="shared" ref="I41" si="24">AVERAGE(I36:I40)</f>
        <v>1.5581870831449627</v>
      </c>
    </row>
    <row r="42" spans="1:9" ht="15.6" thickTop="1" thickBot="1" x14ac:dyDescent="0.35"/>
    <row r="43" spans="1:9" ht="15.6" thickTop="1" thickBot="1" x14ac:dyDescent="0.35">
      <c r="E43" s="24" t="s">
        <v>20</v>
      </c>
      <c r="F43" s="3"/>
      <c r="G43" s="4"/>
    </row>
    <row r="44" spans="1:9" ht="15" thickTop="1" x14ac:dyDescent="0.3">
      <c r="E44" s="5" t="s">
        <v>21</v>
      </c>
      <c r="F44" s="1" t="s">
        <v>22</v>
      </c>
      <c r="G44" s="6" t="s">
        <v>23</v>
      </c>
    </row>
    <row r="45" spans="1:9" ht="15" thickBot="1" x14ac:dyDescent="0.35">
      <c r="E45" s="7">
        <f>I41/H41</f>
        <v>22.805618020766197</v>
      </c>
      <c r="F45" s="8">
        <f>SQRT((G41*H41-I41*I41)/(5*H41*H41))</f>
        <v>1.0361357932118216</v>
      </c>
      <c r="G45" s="9">
        <f>F45/E45</f>
        <v>4.5433357353803945E-2</v>
      </c>
    </row>
    <row r="46" spans="1:9" ht="15" thickTop="1" x14ac:dyDescent="0.3"/>
    <row r="51" spans="1:9" ht="15" thickBot="1" x14ac:dyDescent="0.35"/>
    <row r="52" spans="1:9" ht="15" thickTop="1" x14ac:dyDescent="0.3">
      <c r="A52" s="2" t="s">
        <v>5</v>
      </c>
      <c r="B52" s="3" t="s">
        <v>6</v>
      </c>
      <c r="C52" s="3" t="s">
        <v>16</v>
      </c>
      <c r="D52" s="3" t="s">
        <v>7</v>
      </c>
      <c r="E52" s="11">
        <f>E29</f>
        <v>1.150273556304561</v>
      </c>
      <c r="F52" s="4"/>
    </row>
    <row r="53" spans="1:9" x14ac:dyDescent="0.3">
      <c r="A53" s="5">
        <v>1</v>
      </c>
      <c r="B53" s="10">
        <v>60.57</v>
      </c>
      <c r="C53" s="1">
        <f>$E$29*A53/B53</f>
        <v>1.8990813212886922E-2</v>
      </c>
      <c r="D53" s="1"/>
      <c r="E53" s="1"/>
      <c r="F53" s="6"/>
    </row>
    <row r="54" spans="1:9" x14ac:dyDescent="0.3">
      <c r="A54" s="5">
        <v>1</v>
      </c>
      <c r="B54" s="10">
        <v>61.68</v>
      </c>
      <c r="C54" s="1">
        <f>$E$29*A54/B54</f>
        <v>1.8649052469269796E-2</v>
      </c>
      <c r="D54" s="1" t="s">
        <v>8</v>
      </c>
      <c r="E54" s="1">
        <f>C5*C56/29</f>
        <v>1.9105073334653631E-2</v>
      </c>
      <c r="F54" s="6"/>
    </row>
    <row r="55" spans="1:9" x14ac:dyDescent="0.3">
      <c r="A55" s="5">
        <v>1</v>
      </c>
      <c r="B55" s="10">
        <v>60.26</v>
      </c>
      <c r="C55" s="1">
        <f>$E$29*A55/B55</f>
        <v>1.9088509065790921E-2</v>
      </c>
      <c r="D55" s="1" t="s">
        <v>9</v>
      </c>
      <c r="E55" s="1">
        <f>SQRT(E54/35)</f>
        <v>2.3363630671044279E-2</v>
      </c>
      <c r="F55" s="6"/>
    </row>
    <row r="56" spans="1:9" ht="15" thickBot="1" x14ac:dyDescent="0.35">
      <c r="A56" s="7"/>
      <c r="B56" s="8"/>
      <c r="C56" s="8">
        <f>AVERAGE(C53:C55)</f>
        <v>1.8909458249315877E-2</v>
      </c>
      <c r="D56" s="8"/>
      <c r="E56" s="8"/>
      <c r="F56" s="9"/>
    </row>
    <row r="57" spans="1:9" ht="15.6" thickTop="1" thickBot="1" x14ac:dyDescent="0.35">
      <c r="A57" s="14"/>
      <c r="B57" s="15"/>
      <c r="C57" s="15"/>
      <c r="D57" s="15"/>
      <c r="E57" s="15"/>
      <c r="F57" s="16"/>
    </row>
    <row r="58" spans="1:9" ht="15" thickTop="1" x14ac:dyDescent="0.3">
      <c r="A58" s="5" t="s">
        <v>11</v>
      </c>
      <c r="B58" s="1" t="s">
        <v>12</v>
      </c>
      <c r="C58" s="1" t="s">
        <v>10</v>
      </c>
      <c r="D58" s="1" t="s">
        <v>13</v>
      </c>
      <c r="E58" s="1" t="s">
        <v>14</v>
      </c>
      <c r="F58" s="6" t="s">
        <v>15</v>
      </c>
      <c r="G58" s="20" t="s">
        <v>17</v>
      </c>
      <c r="H58" s="11" t="s">
        <v>18</v>
      </c>
      <c r="I58" s="21" t="s">
        <v>19</v>
      </c>
    </row>
    <row r="59" spans="1:9" x14ac:dyDescent="0.3">
      <c r="A59" s="5">
        <v>40.75</v>
      </c>
      <c r="B59" s="1">
        <v>1.427</v>
      </c>
      <c r="C59" s="1">
        <v>115</v>
      </c>
      <c r="D59" s="1">
        <f>B59/A59*1000</f>
        <v>35.018404907975459</v>
      </c>
      <c r="E59" s="1">
        <f>B59*A59/1000</f>
        <v>5.8150250000000001E-2</v>
      </c>
      <c r="F59" s="6">
        <f>C59/40.7</f>
        <v>2.8255528255528253</v>
      </c>
      <c r="G59" s="5">
        <f>F59*F59</f>
        <v>7.9837487699895551</v>
      </c>
      <c r="H59" s="1">
        <f>E59*E59</f>
        <v>3.3814515750625E-3</v>
      </c>
      <c r="I59" s="6">
        <f>E59*F59</f>
        <v>0.16430660319410317</v>
      </c>
    </row>
    <row r="60" spans="1:9" x14ac:dyDescent="0.3">
      <c r="A60" s="5">
        <v>51</v>
      </c>
      <c r="B60" s="1">
        <v>1.786</v>
      </c>
      <c r="C60" s="1">
        <v>150</v>
      </c>
      <c r="D60" s="1">
        <f t="shared" ref="D60:D61" si="25">B60/A60*1000</f>
        <v>35.019607843137258</v>
      </c>
      <c r="E60" s="1">
        <f t="shared" ref="E60:E61" si="26">B60*A60/1000</f>
        <v>9.1086E-2</v>
      </c>
      <c r="F60" s="6">
        <f t="shared" ref="F60:F61" si="27">C60/40.7</f>
        <v>3.6855036855036851</v>
      </c>
      <c r="G60" s="5">
        <f t="shared" ref="G60:G63" si="28">F60*F60</f>
        <v>13.582937415861245</v>
      </c>
      <c r="H60" s="1">
        <f t="shared" ref="H60:H64" si="29">E60*E60</f>
        <v>8.2966593959999998E-3</v>
      </c>
      <c r="I60" s="6">
        <f t="shared" ref="I60:I63" si="30">E60*F60</f>
        <v>0.33569778869778866</v>
      </c>
    </row>
    <row r="61" spans="1:9" ht="15" thickBot="1" x14ac:dyDescent="0.35">
      <c r="A61" s="7">
        <v>71.930000000000007</v>
      </c>
      <c r="B61" s="8">
        <v>2.5230000000000001</v>
      </c>
      <c r="C61" s="8">
        <v>250</v>
      </c>
      <c r="D61" s="8">
        <f t="shared" si="25"/>
        <v>35.075768107882659</v>
      </c>
      <c r="E61" s="8">
        <f t="shared" si="26"/>
        <v>0.18147939000000002</v>
      </c>
      <c r="F61" s="9">
        <f t="shared" si="27"/>
        <v>6.142506142506142</v>
      </c>
      <c r="G61" s="5">
        <f t="shared" si="28"/>
        <v>37.730381710725688</v>
      </c>
      <c r="H61" s="1">
        <f t="shared" si="29"/>
        <v>3.2934768994772108E-2</v>
      </c>
      <c r="I61" s="6">
        <f t="shared" si="30"/>
        <v>1.1147382678132678</v>
      </c>
    </row>
    <row r="62" spans="1:9" ht="15.6" thickTop="1" thickBot="1" x14ac:dyDescent="0.35">
      <c r="E62" s="17">
        <f>AVERAGE(E59:E61)</f>
        <v>0.11023854666666667</v>
      </c>
      <c r="F62" s="18">
        <f>AVERAGE(F59:F61)</f>
        <v>4.2178542178542173</v>
      </c>
      <c r="G62" s="18">
        <f>AVERAGE(G59:G61)</f>
        <v>19.765689298858828</v>
      </c>
      <c r="H62" s="18">
        <f>AVERAGE(H59:H61)</f>
        <v>1.4870959988611536E-2</v>
      </c>
      <c r="I62" s="19">
        <f>AVERAGE(I59:I61)</f>
        <v>0.53824755323505313</v>
      </c>
    </row>
    <row r="63" spans="1:9" ht="15.6" thickTop="1" thickBot="1" x14ac:dyDescent="0.35">
      <c r="G63" s="1"/>
      <c r="H63" s="1"/>
      <c r="I63" s="1"/>
    </row>
    <row r="64" spans="1:9" ht="15.6" thickTop="1" thickBot="1" x14ac:dyDescent="0.35">
      <c r="E64" s="24" t="s">
        <v>20</v>
      </c>
      <c r="F64" s="3"/>
      <c r="G64" s="4"/>
    </row>
    <row r="65" spans="2:13" ht="15" thickTop="1" x14ac:dyDescent="0.3">
      <c r="E65" s="5" t="s">
        <v>21</v>
      </c>
      <c r="F65" s="1" t="s">
        <v>22</v>
      </c>
      <c r="G65" s="6" t="s">
        <v>23</v>
      </c>
    </row>
    <row r="66" spans="2:13" ht="15" thickBot="1" x14ac:dyDescent="0.35">
      <c r="E66" s="7">
        <f>I62/H62</f>
        <v>36.194539804239497</v>
      </c>
      <c r="F66" s="8">
        <f>SQRT((G62*H62-I62*I62)/(5*H62*H62))</f>
        <v>1.9545903102752389</v>
      </c>
      <c r="G66" s="9">
        <f>F66/E66</f>
        <v>5.4002352864458744E-2</v>
      </c>
    </row>
    <row r="67" spans="2:13" ht="15" thickTop="1" x14ac:dyDescent="0.3"/>
    <row r="68" spans="2:13" x14ac:dyDescent="0.3">
      <c r="E68" s="22"/>
    </row>
    <row r="76" spans="2:13" x14ac:dyDescent="0.3">
      <c r="B76" t="s">
        <v>33</v>
      </c>
    </row>
    <row r="77" spans="2:13" x14ac:dyDescent="0.3">
      <c r="B77" t="s">
        <v>34</v>
      </c>
      <c r="C77" t="s">
        <v>35</v>
      </c>
      <c r="D77" t="s">
        <v>36</v>
      </c>
      <c r="E77" t="s">
        <v>37</v>
      </c>
      <c r="F77" t="s">
        <v>38</v>
      </c>
      <c r="G77" t="s">
        <v>39</v>
      </c>
      <c r="H77" t="s">
        <v>40</v>
      </c>
      <c r="I77" t="s">
        <v>41</v>
      </c>
      <c r="J77" t="s">
        <v>42</v>
      </c>
      <c r="K77" t="s">
        <v>43</v>
      </c>
      <c r="L77" t="s">
        <v>44</v>
      </c>
      <c r="M77" t="s">
        <v>45</v>
      </c>
    </row>
    <row r="78" spans="2:13" x14ac:dyDescent="0.3">
      <c r="B78">
        <v>88.21</v>
      </c>
      <c r="C78">
        <v>0.01</v>
      </c>
      <c r="D78">
        <v>3.081</v>
      </c>
      <c r="E78">
        <v>1E-3</v>
      </c>
      <c r="F78">
        <v>116</v>
      </c>
      <c r="G78">
        <v>1</v>
      </c>
      <c r="H78">
        <v>34.93</v>
      </c>
      <c r="I78">
        <v>0.01</v>
      </c>
      <c r="J78">
        <v>0.2717</v>
      </c>
      <c r="K78">
        <v>1.5E-3</v>
      </c>
      <c r="L78">
        <v>2.85</v>
      </c>
      <c r="M78">
        <v>0.02</v>
      </c>
    </row>
    <row r="79" spans="2:13" x14ac:dyDescent="0.3">
      <c r="B79">
        <v>98.69</v>
      </c>
      <c r="C79">
        <v>0.01</v>
      </c>
      <c r="D79">
        <v>3.448</v>
      </c>
      <c r="E79">
        <v>1E-3</v>
      </c>
      <c r="F79">
        <v>142</v>
      </c>
      <c r="G79">
        <v>1</v>
      </c>
      <c r="H79">
        <v>34.94</v>
      </c>
      <c r="I79">
        <v>0.01</v>
      </c>
      <c r="J79">
        <v>0.34029999999999999</v>
      </c>
      <c r="K79">
        <v>1.5E-3</v>
      </c>
      <c r="L79">
        <v>3.49</v>
      </c>
      <c r="M79">
        <v>0.02</v>
      </c>
    </row>
    <row r="80" spans="2:13" x14ac:dyDescent="0.3">
      <c r="B80">
        <v>128.38</v>
      </c>
      <c r="C80">
        <v>0.01</v>
      </c>
      <c r="D80">
        <v>4.4880000000000004</v>
      </c>
      <c r="E80">
        <v>1E-3</v>
      </c>
      <c r="F80">
        <v>217</v>
      </c>
      <c r="G80">
        <v>1</v>
      </c>
      <c r="H80">
        <v>34.96</v>
      </c>
      <c r="I80">
        <v>0.01</v>
      </c>
      <c r="J80">
        <v>0.57609999999999995</v>
      </c>
      <c r="K80">
        <v>1.5E-3</v>
      </c>
      <c r="L80">
        <v>5.33</v>
      </c>
      <c r="M80">
        <v>0.02</v>
      </c>
    </row>
    <row r="81" spans="2:13" x14ac:dyDescent="0.3">
      <c r="B81">
        <v>150.30000000000001</v>
      </c>
      <c r="C81">
        <v>0.01</v>
      </c>
      <c r="D81">
        <v>5.2569999999999997</v>
      </c>
      <c r="E81">
        <v>1E-3</v>
      </c>
      <c r="F81">
        <v>287</v>
      </c>
      <c r="G81">
        <v>1</v>
      </c>
      <c r="H81">
        <v>34.979999999999997</v>
      </c>
      <c r="I81">
        <v>0.01</v>
      </c>
      <c r="J81">
        <v>0.79010000000000002</v>
      </c>
      <c r="K81">
        <v>1.5E-3</v>
      </c>
      <c r="L81">
        <v>7.05</v>
      </c>
      <c r="M81">
        <v>0.02</v>
      </c>
    </row>
    <row r="82" spans="2:13" x14ac:dyDescent="0.3">
      <c r="B82">
        <v>174.03</v>
      </c>
      <c r="C82">
        <v>0.01</v>
      </c>
      <c r="D82">
        <v>6.09</v>
      </c>
      <c r="E82">
        <v>1E-3</v>
      </c>
      <c r="F82">
        <v>382</v>
      </c>
      <c r="G82">
        <v>1</v>
      </c>
      <c r="H82">
        <v>34.99</v>
      </c>
      <c r="I82">
        <v>0.01</v>
      </c>
      <c r="J82">
        <v>1.0598000000000001</v>
      </c>
      <c r="K82">
        <v>1.5E-3</v>
      </c>
      <c r="L82">
        <v>9.39</v>
      </c>
      <c r="M82">
        <v>0.02</v>
      </c>
    </row>
    <row r="85" spans="2:13" x14ac:dyDescent="0.3">
      <c r="C85" s="13" t="s">
        <v>46</v>
      </c>
      <c r="D85" s="13"/>
      <c r="E85" s="13"/>
      <c r="F85" s="13"/>
      <c r="G85" s="41"/>
      <c r="H85" s="41"/>
    </row>
    <row r="86" spans="2:13" ht="15" thickBot="1" x14ac:dyDescent="0.35">
      <c r="C86" t="s">
        <v>34</v>
      </c>
      <c r="D86" s="5">
        <v>40.75</v>
      </c>
      <c r="E86" s="5">
        <v>51</v>
      </c>
      <c r="F86" s="7">
        <v>71.930000000000007</v>
      </c>
      <c r="G86" s="5"/>
      <c r="H86" s="7"/>
    </row>
    <row r="87" spans="2:13" ht="15" thickTop="1" x14ac:dyDescent="0.3">
      <c r="C87" t="s">
        <v>35</v>
      </c>
      <c r="D87">
        <v>0.01</v>
      </c>
      <c r="E87">
        <v>0.01</v>
      </c>
      <c r="F87">
        <v>0.01</v>
      </c>
    </row>
    <row r="88" spans="2:13" ht="15" thickBot="1" x14ac:dyDescent="0.35">
      <c r="C88" t="s">
        <v>36</v>
      </c>
      <c r="D88" s="1">
        <v>1.427</v>
      </c>
      <c r="E88" s="1">
        <v>1.786</v>
      </c>
      <c r="F88" s="8">
        <v>2.5230000000000001</v>
      </c>
      <c r="G88" s="1"/>
      <c r="H88" s="12"/>
    </row>
    <row r="89" spans="2:13" ht="15" thickTop="1" x14ac:dyDescent="0.3">
      <c r="C89" t="s">
        <v>37</v>
      </c>
      <c r="D89">
        <v>1E-3</v>
      </c>
      <c r="E89">
        <v>1E-3</v>
      </c>
      <c r="F89">
        <v>1E-3</v>
      </c>
    </row>
    <row r="90" spans="2:13" ht="15" thickBot="1" x14ac:dyDescent="0.35">
      <c r="C90" t="s">
        <v>38</v>
      </c>
      <c r="D90" s="1">
        <v>115</v>
      </c>
      <c r="E90" s="1">
        <v>150</v>
      </c>
      <c r="F90" s="8">
        <v>250</v>
      </c>
      <c r="G90" s="10"/>
      <c r="H90" s="12"/>
    </row>
    <row r="91" spans="2:13" ht="15" thickTop="1" x14ac:dyDescent="0.3">
      <c r="C91" t="s">
        <v>39</v>
      </c>
      <c r="D91">
        <v>1</v>
      </c>
      <c r="E91">
        <v>1</v>
      </c>
      <c r="F91">
        <v>1</v>
      </c>
    </row>
    <row r="92" spans="2:13" x14ac:dyDescent="0.3">
      <c r="C92" t="s">
        <v>40</v>
      </c>
      <c r="D92">
        <v>35.020000000000003</v>
      </c>
      <c r="E92">
        <v>35.020000000000003</v>
      </c>
      <c r="F92">
        <v>35.08</v>
      </c>
    </row>
    <row r="93" spans="2:13" x14ac:dyDescent="0.3">
      <c r="C93" t="s">
        <v>41</v>
      </c>
      <c r="D93">
        <v>0.01</v>
      </c>
      <c r="E93">
        <v>0.01</v>
      </c>
      <c r="F93">
        <v>0.01</v>
      </c>
    </row>
    <row r="94" spans="2:13" x14ac:dyDescent="0.3">
      <c r="C94" t="s">
        <v>42</v>
      </c>
      <c r="D94">
        <v>5.8000000000000003E-2</v>
      </c>
      <c r="E94">
        <v>9.0999999999999998E-2</v>
      </c>
      <c r="F94">
        <v>0.18099999999999999</v>
      </c>
    </row>
    <row r="95" spans="2:13" x14ac:dyDescent="0.3">
      <c r="C95" t="s">
        <v>43</v>
      </c>
      <c r="D95">
        <v>1.5E-3</v>
      </c>
      <c r="E95">
        <v>1.5E-3</v>
      </c>
      <c r="F95">
        <v>1.5E-3</v>
      </c>
    </row>
    <row r="96" spans="2:13" x14ac:dyDescent="0.3">
      <c r="C96" t="s">
        <v>44</v>
      </c>
      <c r="D96">
        <v>2.82</v>
      </c>
      <c r="E96">
        <v>3.69</v>
      </c>
      <c r="F96">
        <v>6.14</v>
      </c>
    </row>
    <row r="97" spans="3:8" x14ac:dyDescent="0.3">
      <c r="C97" t="s">
        <v>45</v>
      </c>
      <c r="D97">
        <v>0.02</v>
      </c>
      <c r="E97">
        <v>0.02</v>
      </c>
      <c r="F97">
        <v>0.02</v>
      </c>
    </row>
    <row r="99" spans="3:8" ht="15" thickBot="1" x14ac:dyDescent="0.35">
      <c r="C99" s="5">
        <v>42.64</v>
      </c>
      <c r="D99" s="5">
        <v>55.77</v>
      </c>
      <c r="E99" s="5">
        <v>65.099999999999994</v>
      </c>
      <c r="F99" s="5">
        <v>99.74</v>
      </c>
      <c r="G99" s="7">
        <v>110</v>
      </c>
    </row>
    <row r="100" spans="3:8" ht="15.6" thickTop="1" thickBot="1" x14ac:dyDescent="0.35">
      <c r="C100" s="1">
        <v>1.5</v>
      </c>
      <c r="D100" s="1">
        <v>1.968</v>
      </c>
      <c r="E100" s="1">
        <v>2.2970000000000002</v>
      </c>
      <c r="F100" s="1">
        <v>3.5219999999999998</v>
      </c>
      <c r="G100" s="12">
        <v>3.8540000000000001</v>
      </c>
    </row>
    <row r="101" spans="3:8" ht="15.6" thickTop="1" thickBot="1" x14ac:dyDescent="0.35">
      <c r="C101" s="1">
        <v>105</v>
      </c>
      <c r="D101" s="1">
        <v>122</v>
      </c>
      <c r="E101" s="1">
        <v>157</v>
      </c>
      <c r="F101" s="10">
        <v>320</v>
      </c>
      <c r="G101" s="12">
        <v>380</v>
      </c>
    </row>
    <row r="102" spans="3:8" ht="15.6" thickTop="1" thickBot="1" x14ac:dyDescent="0.35">
      <c r="C102" s="1">
        <f>C100/C99*1000</f>
        <v>35.178236397748591</v>
      </c>
      <c r="D102" s="1">
        <f>D100/D99*1000</f>
        <v>35.287789133942972</v>
      </c>
      <c r="E102" s="1">
        <f>E100/E99*1000</f>
        <v>35.284178187404002</v>
      </c>
      <c r="F102" s="1">
        <f>F100/F99*1000</f>
        <v>35.31181070784038</v>
      </c>
      <c r="G102" s="8">
        <f>G100/G99*1000</f>
        <v>35.036363636363639</v>
      </c>
    </row>
    <row r="103" spans="3:8" ht="15.6" thickTop="1" thickBot="1" x14ac:dyDescent="0.35">
      <c r="C103" s="1">
        <f>C100*C99/1000</f>
        <v>6.3960000000000003E-2</v>
      </c>
      <c r="D103" s="1">
        <f>D100*D99/1000</f>
        <v>0.10975536000000001</v>
      </c>
      <c r="E103" s="1">
        <f>E100*E99/1000</f>
        <v>0.14953469999999999</v>
      </c>
      <c r="F103" s="1">
        <f>F100*F99/1000</f>
        <v>0.35128427999999995</v>
      </c>
      <c r="G103" s="8">
        <f>G100*G99/1000</f>
        <v>0.42393999999999998</v>
      </c>
    </row>
    <row r="104" spans="3:8" ht="15.6" thickTop="1" thickBot="1" x14ac:dyDescent="0.35">
      <c r="C104" s="6">
        <f>C101/40.7</f>
        <v>2.5798525798525795</v>
      </c>
      <c r="D104" s="6">
        <f>D101/40.7</f>
        <v>2.9975429975429972</v>
      </c>
      <c r="E104" s="6">
        <f>E101/40.7</f>
        <v>3.8574938574938571</v>
      </c>
      <c r="F104" s="6">
        <f>F101/40.7</f>
        <v>7.8624078624078617</v>
      </c>
      <c r="G104" s="9">
        <f>G101/40.7</f>
        <v>9.3366093366093352</v>
      </c>
    </row>
    <row r="105" spans="3:8" ht="15" thickTop="1" x14ac:dyDescent="0.3"/>
    <row r="106" spans="3:8" x14ac:dyDescent="0.3">
      <c r="C106" s="5">
        <v>40.75</v>
      </c>
      <c r="D106" s="1">
        <v>1.427</v>
      </c>
      <c r="E106" s="1">
        <v>115</v>
      </c>
      <c r="F106" s="1">
        <f>D106/C106*1000</f>
        <v>35.018404907975459</v>
      </c>
      <c r="G106" s="1">
        <f>D106*C106/1000</f>
        <v>5.8150250000000001E-2</v>
      </c>
      <c r="H106" s="6">
        <f>E106/40.7</f>
        <v>2.8255528255528253</v>
      </c>
    </row>
    <row r="107" spans="3:8" x14ac:dyDescent="0.3">
      <c r="C107" s="5">
        <v>51</v>
      </c>
      <c r="D107" s="1">
        <v>1.786</v>
      </c>
      <c r="E107" s="1">
        <v>150</v>
      </c>
      <c r="F107" s="1">
        <f t="shared" ref="F107:F108" si="31">D107/C107*1000</f>
        <v>35.019607843137258</v>
      </c>
      <c r="G107" s="1">
        <f t="shared" ref="G107:G108" si="32">D107*C107/1000</f>
        <v>9.1086E-2</v>
      </c>
      <c r="H107" s="6">
        <f t="shared" ref="H107:H108" si="33">E107/40.7</f>
        <v>3.6855036855036851</v>
      </c>
    </row>
    <row r="108" spans="3:8" ht="15" thickBot="1" x14ac:dyDescent="0.35">
      <c r="C108" s="7">
        <v>71.930000000000007</v>
      </c>
      <c r="D108" s="8">
        <v>2.5230000000000001</v>
      </c>
      <c r="E108" s="8">
        <v>250</v>
      </c>
      <c r="F108" s="8">
        <f t="shared" si="31"/>
        <v>35.075768107882659</v>
      </c>
      <c r="G108" s="8">
        <f t="shared" si="32"/>
        <v>0.18147939000000002</v>
      </c>
      <c r="H108" s="9">
        <f t="shared" si="33"/>
        <v>6.142506142506142</v>
      </c>
    </row>
    <row r="109" spans="3:8" ht="15" thickTop="1" x14ac:dyDescent="0.3"/>
    <row r="110" spans="3:8" ht="15" thickBot="1" x14ac:dyDescent="0.35">
      <c r="C110" s="5">
        <v>40.75</v>
      </c>
      <c r="D110" s="5">
        <v>51</v>
      </c>
      <c r="E110" s="7">
        <v>71.930000000000007</v>
      </c>
    </row>
    <row r="111" spans="3:8" ht="15.6" thickTop="1" thickBot="1" x14ac:dyDescent="0.35">
      <c r="C111" s="1">
        <v>1.427</v>
      </c>
      <c r="D111" s="1">
        <v>1.786</v>
      </c>
      <c r="E111" s="8">
        <v>2.5230000000000001</v>
      </c>
    </row>
    <row r="112" spans="3:8" ht="15.6" thickTop="1" thickBot="1" x14ac:dyDescent="0.35">
      <c r="C112" s="1">
        <v>115</v>
      </c>
      <c r="D112" s="1">
        <v>150</v>
      </c>
      <c r="E112" s="8">
        <v>250</v>
      </c>
    </row>
    <row r="113" spans="3:5" ht="15.6" thickTop="1" thickBot="1" x14ac:dyDescent="0.35">
      <c r="C113" s="1">
        <f>C111/C110*1000</f>
        <v>35.018404907975459</v>
      </c>
      <c r="D113" s="1">
        <f>D111/D110*1000</f>
        <v>35.019607843137258</v>
      </c>
      <c r="E113" s="8">
        <f>E111/E110*1000</f>
        <v>35.075768107882659</v>
      </c>
    </row>
    <row r="114" spans="3:5" ht="15.6" thickTop="1" thickBot="1" x14ac:dyDescent="0.35">
      <c r="C114" s="1">
        <f>C111*C110/1000</f>
        <v>5.8150250000000001E-2</v>
      </c>
      <c r="D114" s="1">
        <f>D111*D110/1000</f>
        <v>9.1086E-2</v>
      </c>
      <c r="E114" s="8">
        <f>E111*E110/1000</f>
        <v>0.18147939000000002</v>
      </c>
    </row>
    <row r="115" spans="3:5" ht="15.6" thickTop="1" thickBot="1" x14ac:dyDescent="0.35">
      <c r="C115" s="6">
        <f>C112/40.7</f>
        <v>2.8255528255528253</v>
      </c>
      <c r="D115" s="6">
        <f>D112/40.7</f>
        <v>3.6855036855036851</v>
      </c>
      <c r="E115" s="9">
        <f>E112/40.7</f>
        <v>6.142506142506142</v>
      </c>
    </row>
    <row r="116" spans="3:5" ht="15" thickTop="1" x14ac:dyDescent="0.3"/>
  </sheetData>
  <mergeCells count="6">
    <mergeCell ref="C85:F85"/>
    <mergeCell ref="A1:A3"/>
    <mergeCell ref="A11:F11"/>
    <mergeCell ref="A34:F34"/>
    <mergeCell ref="A57:F57"/>
    <mergeCell ref="K5:L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2019-02-25T18:07:59Z</dcterms:modified>
</cp:coreProperties>
</file>