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уф\МФТИ\Лабораторки\2.1.6\"/>
    </mc:Choice>
  </mc:AlternateContent>
  <xr:revisionPtr revIDLastSave="0" documentId="13_ncr:1_{0092DC92-45BA-4398-B5E0-A10B0B917B6A}" xr6:coauthVersionLast="40" xr6:coauthVersionMax="40" xr10:uidLastSave="{00000000-0000-0000-0000-000000000000}"/>
  <bookViews>
    <workbookView xWindow="-108" yWindow="-108" windowWidth="23256" windowHeight="12576" xr2:uid="{74DE0658-2328-4798-8459-7FFDDD68EB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O13" i="1"/>
  <c r="N12" i="1" l="1"/>
  <c r="N4" i="1"/>
  <c r="O4" i="1"/>
  <c r="O3" i="1"/>
  <c r="N3" i="1"/>
  <c r="P13" i="1" l="1"/>
  <c r="O12" i="1"/>
  <c r="P12" i="1" s="1"/>
  <c r="Q7" i="1"/>
  <c r="P8" i="1"/>
  <c r="P9" i="1"/>
  <c r="P7" i="1"/>
  <c r="O9" i="1"/>
  <c r="O8" i="1"/>
  <c r="O7" i="1"/>
  <c r="N9" i="1"/>
  <c r="N8" i="1"/>
  <c r="N7" i="1"/>
  <c r="U7" i="1"/>
  <c r="T7" i="1"/>
  <c r="I3" i="1"/>
  <c r="I16" i="1"/>
  <c r="I29" i="1"/>
  <c r="A28" i="1" l="1"/>
  <c r="A15" i="1"/>
  <c r="A1" i="1"/>
  <c r="E37" i="1" l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G30" i="1"/>
  <c r="F30" i="1"/>
  <c r="E30" i="1"/>
  <c r="D30" i="1"/>
  <c r="D38" i="1" s="1"/>
  <c r="G17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F17" i="1"/>
  <c r="E17" i="1"/>
  <c r="D17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  <c r="B38" i="1"/>
  <c r="A38" i="1"/>
  <c r="B25" i="1"/>
  <c r="A25" i="1"/>
  <c r="B12" i="1"/>
  <c r="A12" i="1"/>
  <c r="E38" i="1" l="1"/>
  <c r="E25" i="1"/>
  <c r="E12" i="1"/>
  <c r="D12" i="1"/>
  <c r="C31" i="1"/>
  <c r="C32" i="1"/>
  <c r="C33" i="1"/>
  <c r="C34" i="1"/>
  <c r="C35" i="1"/>
  <c r="C36" i="1"/>
  <c r="C37" i="1"/>
  <c r="C30" i="1"/>
  <c r="C18" i="1"/>
  <c r="C19" i="1"/>
  <c r="C20" i="1"/>
  <c r="C21" i="1"/>
  <c r="C22" i="1"/>
  <c r="C23" i="1"/>
  <c r="C24" i="1"/>
  <c r="C17" i="1"/>
  <c r="C4" i="1"/>
  <c r="C5" i="1"/>
  <c r="C6" i="1"/>
  <c r="C7" i="1"/>
  <c r="C8" i="1"/>
  <c r="C9" i="1"/>
  <c r="C10" i="1"/>
  <c r="C11" i="1"/>
  <c r="C3" i="1"/>
  <c r="G3" i="1" s="1"/>
  <c r="G37" i="1" l="1"/>
  <c r="F37" i="1"/>
  <c r="G36" i="1"/>
  <c r="F36" i="1"/>
  <c r="F35" i="1"/>
  <c r="G35" i="1"/>
  <c r="G34" i="1"/>
  <c r="F34" i="1"/>
  <c r="G33" i="1"/>
  <c r="F33" i="1"/>
  <c r="F32" i="1"/>
  <c r="G32" i="1"/>
  <c r="G31" i="1"/>
  <c r="F31" i="1"/>
  <c r="C38" i="1"/>
  <c r="G24" i="1"/>
  <c r="F24" i="1"/>
  <c r="F23" i="1"/>
  <c r="G23" i="1"/>
  <c r="G22" i="1"/>
  <c r="F22" i="1"/>
  <c r="F21" i="1"/>
  <c r="G21" i="1"/>
  <c r="G20" i="1"/>
  <c r="F20" i="1"/>
  <c r="F19" i="1"/>
  <c r="G19" i="1"/>
  <c r="C25" i="1"/>
  <c r="F18" i="1"/>
  <c r="G18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C12" i="1"/>
  <c r="F3" i="1"/>
  <c r="F38" i="1" l="1"/>
  <c r="G38" i="1"/>
  <c r="I30" i="1" s="1"/>
  <c r="G25" i="1"/>
  <c r="I17" i="1" s="1"/>
  <c r="F25" i="1"/>
  <c r="G12" i="1"/>
  <c r="I4" i="1" s="1"/>
  <c r="F12" i="1"/>
  <c r="J29" i="1" l="1"/>
  <c r="K29" i="1" s="1"/>
  <c r="J16" i="1"/>
  <c r="J17" i="1" s="1"/>
  <c r="K17" i="1" s="1"/>
  <c r="J3" i="1"/>
  <c r="J4" i="1" l="1"/>
  <c r="K4" i="1" s="1"/>
  <c r="P4" i="1"/>
  <c r="V7" i="1" s="1"/>
  <c r="J30" i="1"/>
  <c r="K30" i="1" s="1"/>
  <c r="K16" i="1"/>
  <c r="K3" i="1"/>
  <c r="P3" i="1" l="1"/>
  <c r="S7" i="1" s="1"/>
  <c r="R7" i="1"/>
</calcChain>
</file>

<file path=xl/sharedStrings.xml><?xml version="1.0" encoding="utf-8"?>
<sst xmlns="http://schemas.openxmlformats.org/spreadsheetml/2006/main" count="65" uniqueCount="20">
  <si>
    <t>мкВ</t>
  </si>
  <si>
    <t>10^5 Па</t>
  </si>
  <si>
    <t>gr K</t>
  </si>
  <si>
    <t>p</t>
  </si>
  <si>
    <t>U</t>
  </si>
  <si>
    <t>T</t>
  </si>
  <si>
    <t>p^2</t>
  </si>
  <si>
    <t>U^2</t>
  </si>
  <si>
    <t>T^2</t>
  </si>
  <si>
    <t>y = kx + b</t>
  </si>
  <si>
    <t>k</t>
  </si>
  <si>
    <t>p*U</t>
  </si>
  <si>
    <t>b</t>
  </si>
  <si>
    <t>sigma</t>
  </si>
  <si>
    <t>epsilon</t>
  </si>
  <si>
    <t>Решения системы уравнений</t>
  </si>
  <si>
    <t>a</t>
  </si>
  <si>
    <t>m</t>
  </si>
  <si>
    <t>sigma_m</t>
  </si>
  <si>
    <t>epsilon_m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</si>
</sst>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164" fontId="0" fillId="2" borderId="11" xfId="0" applyNumberFormat="1" applyFill="1" applyBorder="1"/>
    <xf numFmtId="164" fontId="0" fillId="2" borderId="0" xfId="0" applyNumberFormat="1" applyFill="1"/>
    <xf numFmtId="164" fontId="1" fillId="2" borderId="5" xfId="0" applyNumberFormat="1" applyFont="1" applyFill="1" applyBorder="1"/>
    <xf numFmtId="164" fontId="1" fillId="2" borderId="0" xfId="0" applyNumberFormat="1" applyFont="1" applyFill="1" applyBorder="1"/>
    <xf numFmtId="164" fontId="1" fillId="2" borderId="6" xfId="0" applyNumberFormat="1" applyFont="1" applyFill="1" applyBorder="1"/>
    <xf numFmtId="164" fontId="0" fillId="2" borderId="5" xfId="0" applyNumberFormat="1" applyFill="1" applyBorder="1"/>
    <xf numFmtId="164" fontId="0" fillId="0" borderId="1" xfId="0" applyNumberFormat="1" applyFill="1" applyBorder="1"/>
    <xf numFmtId="164" fontId="0" fillId="2" borderId="3" xfId="0" applyNumberFormat="1" applyFill="1" applyBorder="1"/>
    <xf numFmtId="164" fontId="0" fillId="2" borderId="8" xfId="0" applyNumberFormat="1" applyFill="1" applyBorder="1"/>
    <xf numFmtId="164" fontId="0" fillId="2" borderId="12" xfId="0" applyNumberFormat="1" applyFill="1" applyBorder="1"/>
    <xf numFmtId="10" fontId="0" fillId="2" borderId="0" xfId="0" applyNumberFormat="1" applyFill="1"/>
    <xf numFmtId="164" fontId="0" fillId="2" borderId="0" xfId="0" applyNumberFormat="1" applyFill="1" applyBorder="1"/>
    <xf numFmtId="0" fontId="0" fillId="2" borderId="0" xfId="0" applyFill="1" applyBorder="1"/>
    <xf numFmtId="164" fontId="0" fillId="0" borderId="11" xfId="0" applyNumberFormat="1" applyFill="1" applyBorder="1"/>
    <xf numFmtId="164" fontId="0" fillId="0" borderId="10" xfId="0" applyNumberFormat="1" applyFill="1" applyBorder="1"/>
    <xf numFmtId="164" fontId="0" fillId="0" borderId="12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0" fontId="0" fillId="2" borderId="8" xfId="0" applyNumberFormat="1" applyFill="1" applyBorder="1"/>
    <xf numFmtId="10" fontId="0" fillId="0" borderId="1" xfId="0" applyNumberFormat="1" applyFill="1" applyBorder="1"/>
    <xf numFmtId="0" fontId="0" fillId="0" borderId="1" xfId="0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165" fontId="0" fillId="0" borderId="1" xfId="0" applyNumberFormat="1" applyFont="1" applyFill="1" applyBorder="1"/>
    <xf numFmtId="164" fontId="0" fillId="0" borderId="13" xfId="0" applyNumberFormat="1" applyFill="1" applyBorder="1"/>
    <xf numFmtId="10" fontId="0" fillId="0" borderId="14" xfId="0" applyNumberFormat="1" applyFill="1" applyBorder="1"/>
    <xf numFmtId="10" fontId="0" fillId="0" borderId="6" xfId="0" applyNumberFormat="1" applyFill="1" applyBorder="1"/>
    <xf numFmtId="10" fontId="0" fillId="0" borderId="9" xfId="0" applyNumberFormat="1" applyFill="1" applyBorder="1"/>
    <xf numFmtId="164" fontId="0" fillId="0" borderId="1" xfId="0" applyNumberFormat="1" applyFill="1" applyBorder="1" applyAlignment="1"/>
    <xf numFmtId="9" fontId="0" fillId="0" borderId="1" xfId="0" applyNumberFormat="1" applyFill="1" applyBorder="1"/>
    <xf numFmtId="164" fontId="0" fillId="0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05AB-921B-478C-8952-5929E400ACDB}">
  <dimension ref="A1:V40"/>
  <sheetViews>
    <sheetView tabSelected="1" workbookViewId="0">
      <selection activeCell="M11" sqref="M11:P13"/>
    </sheetView>
  </sheetViews>
  <sheetFormatPr defaultRowHeight="14.4" x14ac:dyDescent="0.3"/>
  <cols>
    <col min="1" max="4" width="9" style="1" bestFit="1" customWidth="1"/>
    <col min="5" max="5" width="9.44140625" style="1" bestFit="1" customWidth="1"/>
    <col min="6" max="6" width="9" style="1" bestFit="1" customWidth="1"/>
    <col min="7" max="10" width="8.88671875" style="1"/>
    <col min="11" max="11" width="8.88671875" style="15"/>
    <col min="12" max="12" width="8.88671875" style="1"/>
    <col min="13" max="13" width="25.88671875" style="1" customWidth="1"/>
    <col min="14" max="14" width="27.33203125" style="1" customWidth="1"/>
    <col min="15" max="15" width="18.44140625" style="1" customWidth="1"/>
    <col min="16" max="16" width="18.109375" style="1" customWidth="1"/>
    <col min="17" max="19" width="8.88671875" style="1"/>
    <col min="20" max="21" width="10.44140625" style="1" bestFit="1" customWidth="1"/>
    <col min="22" max="16384" width="8.88671875" style="1"/>
  </cols>
  <sheetData>
    <row r="1" spans="1:22" ht="15.6" thickTop="1" thickBot="1" x14ac:dyDescent="0.35">
      <c r="A1" s="44">
        <f>21+273</f>
        <v>294</v>
      </c>
      <c r="B1" s="45"/>
      <c r="C1" s="46"/>
      <c r="D1" s="2"/>
      <c r="E1" s="3"/>
      <c r="F1" s="4"/>
      <c r="G1" s="5"/>
      <c r="H1" s="6"/>
      <c r="I1" s="13"/>
      <c r="J1" s="13"/>
      <c r="K1" s="30"/>
      <c r="L1" s="6"/>
      <c r="M1" s="6"/>
    </row>
    <row r="2" spans="1:22" ht="15.6" thickTop="1" thickBot="1" x14ac:dyDescent="0.35">
      <c r="A2" s="18" t="s">
        <v>1</v>
      </c>
      <c r="B2" s="18" t="s">
        <v>0</v>
      </c>
      <c r="C2" s="18" t="s">
        <v>2</v>
      </c>
      <c r="D2" s="7"/>
      <c r="E2" s="8"/>
      <c r="F2" s="9"/>
      <c r="G2" s="10"/>
      <c r="H2" s="11" t="s">
        <v>9</v>
      </c>
      <c r="I2" s="11"/>
      <c r="J2" s="11" t="s">
        <v>13</v>
      </c>
      <c r="K2" s="31" t="s">
        <v>14</v>
      </c>
      <c r="L2" s="6"/>
      <c r="M2" s="32"/>
      <c r="N2" s="33" t="s">
        <v>15</v>
      </c>
      <c r="O2" s="34" t="s">
        <v>13</v>
      </c>
      <c r="P2" s="32" t="s">
        <v>14</v>
      </c>
    </row>
    <row r="3" spans="1:22" ht="15.6" thickTop="1" thickBot="1" x14ac:dyDescent="0.35">
      <c r="A3" s="18">
        <v>0</v>
      </c>
      <c r="B3" s="18">
        <v>0</v>
      </c>
      <c r="C3" s="18">
        <f>B3/40.7</f>
        <v>0</v>
      </c>
      <c r="D3" s="21">
        <f>A3*A3</f>
        <v>0</v>
      </c>
      <c r="E3" s="22">
        <f>B3*B3</f>
        <v>0</v>
      </c>
      <c r="F3" s="23">
        <f>C3*C3</f>
        <v>0</v>
      </c>
      <c r="G3" s="21">
        <f>A3*C3</f>
        <v>0</v>
      </c>
      <c r="H3" s="11" t="s">
        <v>10</v>
      </c>
      <c r="I3" s="11">
        <f>(G12-A12*C12)/(D12-A12*A12)</f>
        <v>0.98698785974004255</v>
      </c>
      <c r="J3" s="11">
        <f>1/SQRT(11)*SQRT((F12-C12*C12)/(D12-A12*A12)-I3*I3)*10</f>
        <v>0.21158376228040263</v>
      </c>
      <c r="K3" s="31">
        <f>J3/I3</f>
        <v>0.21437321664334408</v>
      </c>
      <c r="L3" s="6"/>
      <c r="M3" s="33" t="s">
        <v>16</v>
      </c>
      <c r="N3" s="35">
        <f>2*8.31*8.31*($I$16-$I$3)/100000/(1/$A$15-1/$A$1)</f>
        <v>1.0946748187784485</v>
      </c>
      <c r="O3" s="35">
        <f>N3/($I$3-$I$16)*SQRT($J$3*$J$3+$J$16*$J$16)</f>
        <v>1.2251660300650331</v>
      </c>
      <c r="P3" s="31">
        <f>O3/N3</f>
        <v>1.1192054563127707</v>
      </c>
    </row>
    <row r="4" spans="1:22" ht="15.6" thickTop="1" thickBot="1" x14ac:dyDescent="0.35">
      <c r="A4" s="19">
        <v>1.3</v>
      </c>
      <c r="B4" s="19">
        <v>44</v>
      </c>
      <c r="C4" s="19">
        <f t="shared" ref="C4:C11" si="0">B4/40.7</f>
        <v>1.0810810810810809</v>
      </c>
      <c r="D4" s="24">
        <f t="shared" ref="D4:D11" si="1">A4*A4</f>
        <v>1.6900000000000002</v>
      </c>
      <c r="E4" s="25">
        <f t="shared" ref="E4:E11" si="2">B4*B4</f>
        <v>1936</v>
      </c>
      <c r="F4" s="26">
        <f t="shared" ref="F4:F11" si="3">C4*C4</f>
        <v>1.1687363038714387</v>
      </c>
      <c r="G4" s="24">
        <f t="shared" ref="G4:G11" si="4">A4*C4</f>
        <v>1.4054054054054053</v>
      </c>
      <c r="H4" s="11" t="s">
        <v>12</v>
      </c>
      <c r="I4" s="11">
        <f>A12-I3*C12</f>
        <v>0.20633151580437925</v>
      </c>
      <c r="J4" s="11">
        <f>J3*SQRT(D12-A12*A12)</f>
        <v>0.25405284417835522</v>
      </c>
      <c r="K4" s="31">
        <f>ABS(J4/I4)</f>
        <v>1.2312847273376311</v>
      </c>
      <c r="L4" s="6"/>
      <c r="M4" s="33" t="s">
        <v>12</v>
      </c>
      <c r="N4" s="35">
        <f>(2*N3/8.31/$A$1-4*8.31*$I$3/100000)*1000000</f>
        <v>568.04647184639578</v>
      </c>
      <c r="O4" s="35">
        <f>SQRT((2*N3/8.31/$A$1)^2+(4*8.31*$J$3/100000)^2)*1000000</f>
        <v>898.87687784469915</v>
      </c>
      <c r="P4" s="31">
        <f>O4/N4</f>
        <v>1.5824002478581762</v>
      </c>
    </row>
    <row r="5" spans="1:22" ht="15.6" thickTop="1" thickBot="1" x14ac:dyDescent="0.35">
      <c r="A5" s="19">
        <v>1.8</v>
      </c>
      <c r="B5" s="19">
        <v>63</v>
      </c>
      <c r="C5" s="19">
        <f t="shared" si="0"/>
        <v>1.5479115479115477</v>
      </c>
      <c r="D5" s="24">
        <f t="shared" si="1"/>
        <v>3.24</v>
      </c>
      <c r="E5" s="25">
        <f t="shared" si="2"/>
        <v>3969</v>
      </c>
      <c r="F5" s="26">
        <f t="shared" si="3"/>
        <v>2.3960301601579239</v>
      </c>
      <c r="G5" s="19">
        <f t="shared" si="4"/>
        <v>2.7862407862407861</v>
      </c>
      <c r="H5" s="6"/>
      <c r="I5" s="6"/>
      <c r="J5" s="6"/>
      <c r="L5" s="6"/>
    </row>
    <row r="6" spans="1:22" ht="15.6" thickTop="1" thickBot="1" x14ac:dyDescent="0.35">
      <c r="A6" s="19">
        <v>2.4</v>
      </c>
      <c r="B6" s="19">
        <v>87</v>
      </c>
      <c r="C6" s="19">
        <f t="shared" si="0"/>
        <v>2.1375921375921374</v>
      </c>
      <c r="D6" s="24">
        <f t="shared" si="1"/>
        <v>5.76</v>
      </c>
      <c r="E6" s="25">
        <f t="shared" si="2"/>
        <v>7569</v>
      </c>
      <c r="F6" s="26">
        <f t="shared" si="3"/>
        <v>4.5693001466957233</v>
      </c>
      <c r="G6" s="19">
        <f t="shared" si="4"/>
        <v>5.1302211302211296</v>
      </c>
      <c r="H6" s="6"/>
      <c r="I6" s="6"/>
      <c r="J6" s="6"/>
      <c r="L6" s="6"/>
      <c r="M6" s="40" t="s">
        <v>5</v>
      </c>
      <c r="N6" s="40" t="s">
        <v>17</v>
      </c>
      <c r="O6" s="40" t="s">
        <v>18</v>
      </c>
      <c r="P6" s="32" t="s">
        <v>19</v>
      </c>
      <c r="Q6" s="40" t="s">
        <v>16</v>
      </c>
      <c r="R6" s="40" t="s">
        <v>18</v>
      </c>
      <c r="S6" s="32" t="s">
        <v>19</v>
      </c>
      <c r="T6" s="32" t="s">
        <v>12</v>
      </c>
      <c r="U6" s="40" t="s">
        <v>18</v>
      </c>
      <c r="V6" s="32" t="s">
        <v>19</v>
      </c>
    </row>
    <row r="7" spans="1:22" ht="15.6" thickTop="1" thickBot="1" x14ac:dyDescent="0.35">
      <c r="A7" s="19">
        <v>2.7</v>
      </c>
      <c r="B7" s="19">
        <v>101</v>
      </c>
      <c r="C7" s="19">
        <f t="shared" si="0"/>
        <v>2.4815724815724813</v>
      </c>
      <c r="D7" s="24">
        <f t="shared" si="1"/>
        <v>7.2900000000000009</v>
      </c>
      <c r="E7" s="25">
        <f t="shared" si="2"/>
        <v>10201</v>
      </c>
      <c r="F7" s="26">
        <f t="shared" si="3"/>
        <v>6.1582019812978031</v>
      </c>
      <c r="G7" s="19">
        <f t="shared" si="4"/>
        <v>6.7002457002457003</v>
      </c>
      <c r="H7" s="6"/>
      <c r="I7" s="6"/>
      <c r="J7" s="6"/>
      <c r="L7" s="6"/>
      <c r="M7" s="11">
        <v>294</v>
      </c>
      <c r="N7" s="11">
        <f>I3</f>
        <v>0.98698785974004255</v>
      </c>
      <c r="O7" s="11">
        <f>J3</f>
        <v>0.21158376228040263</v>
      </c>
      <c r="P7" s="41">
        <f>O7/N7</f>
        <v>0.21437321664334408</v>
      </c>
      <c r="Q7" s="42">
        <f>N3</f>
        <v>1.0946748187784485</v>
      </c>
      <c r="R7" s="42">
        <f>O3</f>
        <v>1.2251660300650331</v>
      </c>
      <c r="S7" s="43">
        <f>P3</f>
        <v>1.1192054563127707</v>
      </c>
      <c r="T7" s="42">
        <f>N4</f>
        <v>568.04647184639578</v>
      </c>
      <c r="U7" s="42">
        <f>O4</f>
        <v>898.87687784469915</v>
      </c>
      <c r="V7" s="43">
        <f>P4</f>
        <v>1.5824002478581762</v>
      </c>
    </row>
    <row r="8" spans="1:22" ht="15.6" thickTop="1" thickBot="1" x14ac:dyDescent="0.35">
      <c r="A8" s="19">
        <v>3</v>
      </c>
      <c r="B8" s="19">
        <v>112</v>
      </c>
      <c r="C8" s="19">
        <f t="shared" si="0"/>
        <v>2.7518427518427515</v>
      </c>
      <c r="D8" s="24">
        <f t="shared" si="1"/>
        <v>9</v>
      </c>
      <c r="E8" s="25">
        <f t="shared" si="2"/>
        <v>12544</v>
      </c>
      <c r="F8" s="26">
        <f t="shared" si="3"/>
        <v>7.5726385308694875</v>
      </c>
      <c r="G8" s="19">
        <f t="shared" si="4"/>
        <v>8.2555282555282545</v>
      </c>
      <c r="H8" s="6"/>
      <c r="I8" s="6"/>
      <c r="J8" s="6"/>
      <c r="L8" s="6"/>
      <c r="M8" s="11">
        <v>328</v>
      </c>
      <c r="N8" s="11">
        <f>I16</f>
        <v>0.70753353973168231</v>
      </c>
      <c r="O8" s="11">
        <f>J16</f>
        <v>0.23033754049455471</v>
      </c>
      <c r="P8" s="41">
        <f t="shared" ref="P8:P9" si="5">O8/N8</f>
        <v>0.32554999524390821</v>
      </c>
      <c r="Q8" s="42"/>
      <c r="R8" s="42"/>
      <c r="S8" s="43"/>
      <c r="T8" s="42"/>
      <c r="U8" s="42"/>
      <c r="V8" s="43"/>
    </row>
    <row r="9" spans="1:22" ht="15.6" thickTop="1" thickBot="1" x14ac:dyDescent="0.35">
      <c r="A9" s="19">
        <v>3.4</v>
      </c>
      <c r="B9" s="19">
        <v>131</v>
      </c>
      <c r="C9" s="19">
        <f t="shared" si="0"/>
        <v>3.2186732186732185</v>
      </c>
      <c r="D9" s="24">
        <f t="shared" si="1"/>
        <v>11.559999999999999</v>
      </c>
      <c r="E9" s="25">
        <f t="shared" si="2"/>
        <v>17161</v>
      </c>
      <c r="F9" s="26">
        <f t="shared" si="3"/>
        <v>10.359857288604216</v>
      </c>
      <c r="G9" s="19">
        <f t="shared" si="4"/>
        <v>10.943488943488942</v>
      </c>
      <c r="H9" s="6"/>
      <c r="I9" s="6"/>
      <c r="J9" s="6"/>
      <c r="L9" s="6"/>
      <c r="M9" s="11">
        <v>348</v>
      </c>
      <c r="N9" s="11">
        <f>I29</f>
        <v>0.4311231593723539</v>
      </c>
      <c r="O9" s="11">
        <f>J29</f>
        <v>0.21967023412571438</v>
      </c>
      <c r="P9" s="41">
        <f t="shared" si="5"/>
        <v>0.50953011767105938</v>
      </c>
      <c r="Q9" s="42"/>
      <c r="R9" s="42"/>
      <c r="S9" s="43"/>
      <c r="T9" s="42"/>
      <c r="U9" s="42"/>
      <c r="V9" s="43"/>
    </row>
    <row r="10" spans="1:22" ht="15.6" thickTop="1" thickBot="1" x14ac:dyDescent="0.35">
      <c r="A10" s="19">
        <v>3.7</v>
      </c>
      <c r="B10" s="19">
        <v>145</v>
      </c>
      <c r="C10" s="19">
        <f t="shared" si="0"/>
        <v>3.5626535626535625</v>
      </c>
      <c r="D10" s="24">
        <f t="shared" si="1"/>
        <v>13.690000000000001</v>
      </c>
      <c r="E10" s="25">
        <f t="shared" si="2"/>
        <v>21025</v>
      </c>
      <c r="F10" s="26">
        <f t="shared" si="3"/>
        <v>12.69250040748812</v>
      </c>
      <c r="G10" s="19">
        <f t="shared" si="4"/>
        <v>13.181818181818182</v>
      </c>
      <c r="H10" s="6"/>
      <c r="I10" s="6"/>
      <c r="J10" s="6"/>
      <c r="L10" s="6"/>
      <c r="M10" s="16"/>
      <c r="N10" s="17"/>
    </row>
    <row r="11" spans="1:22" ht="15.6" thickTop="1" thickBot="1" x14ac:dyDescent="0.35">
      <c r="A11" s="20">
        <v>4</v>
      </c>
      <c r="B11" s="20">
        <v>160</v>
      </c>
      <c r="C11" s="20">
        <f t="shared" si="0"/>
        <v>3.9312039312039309</v>
      </c>
      <c r="D11" s="27">
        <f t="shared" si="1"/>
        <v>16</v>
      </c>
      <c r="E11" s="28">
        <f t="shared" si="2"/>
        <v>25600</v>
      </c>
      <c r="F11" s="29">
        <f t="shared" si="3"/>
        <v>15.45436434871324</v>
      </c>
      <c r="G11" s="20">
        <f t="shared" si="4"/>
        <v>15.724815724815723</v>
      </c>
      <c r="H11" s="6"/>
      <c r="I11" s="6"/>
      <c r="J11" s="6"/>
      <c r="L11" s="6"/>
      <c r="M11" s="32"/>
      <c r="N11" s="33" t="s">
        <v>15</v>
      </c>
      <c r="O11" s="34" t="s">
        <v>13</v>
      </c>
      <c r="P11" s="32" t="s">
        <v>14</v>
      </c>
    </row>
    <row r="12" spans="1:22" ht="15.6" thickTop="1" thickBot="1" x14ac:dyDescent="0.35">
      <c r="A12" s="11">
        <f>AVERAGE(A3:A11)</f>
        <v>2.4777777777777779</v>
      </c>
      <c r="B12" s="11">
        <f t="shared" ref="B12:C12" si="6">AVERAGE(B3:B11)</f>
        <v>93.666666666666671</v>
      </c>
      <c r="C12" s="11">
        <f t="shared" si="6"/>
        <v>2.3013923013923017</v>
      </c>
      <c r="D12" s="11">
        <f t="shared" ref="D12" si="7">AVERAGE(D3:D11)</f>
        <v>7.5811111111111114</v>
      </c>
      <c r="E12" s="11">
        <f t="shared" ref="E12" si="8">AVERAGE(E3:E11)</f>
        <v>11111.666666666666</v>
      </c>
      <c r="F12" s="11">
        <f t="shared" ref="F12:G12" si="9">AVERAGE(F3:F11)</f>
        <v>6.7079587964108836</v>
      </c>
      <c r="G12" s="11">
        <f t="shared" si="9"/>
        <v>7.125307125307125</v>
      </c>
      <c r="H12" s="6"/>
      <c r="I12" s="6"/>
      <c r="J12" s="6"/>
      <c r="L12" s="6"/>
      <c r="M12" s="33" t="s">
        <v>16</v>
      </c>
      <c r="N12" s="35">
        <f>4*8.31*8.31*($I$16-$I$3)/300000/(1/$A$15/$A$15-1/$A$1/$A$1)</f>
        <v>113.1422102084065</v>
      </c>
      <c r="O12" s="35">
        <f>N12/($I$3-$I$16)*SQRT($J$3*$J$3+$J$16*$J$16)</f>
        <v>126.62937900453502</v>
      </c>
      <c r="P12" s="31">
        <f>O12/N12</f>
        <v>1.1192054563127707</v>
      </c>
    </row>
    <row r="13" spans="1:22" ht="15.6" thickTop="1" thickBot="1" x14ac:dyDescent="0.35">
      <c r="A13" s="11" t="s">
        <v>3</v>
      </c>
      <c r="B13" s="11" t="s">
        <v>4</v>
      </c>
      <c r="C13" s="11" t="s">
        <v>5</v>
      </c>
      <c r="D13" s="11" t="s">
        <v>6</v>
      </c>
      <c r="E13" s="11" t="s">
        <v>7</v>
      </c>
      <c r="F13" s="11" t="s">
        <v>8</v>
      </c>
      <c r="G13" s="11" t="s">
        <v>11</v>
      </c>
      <c r="H13" s="6"/>
      <c r="I13" s="6"/>
      <c r="J13" s="6"/>
      <c r="L13" s="6"/>
      <c r="M13" s="33" t="s">
        <v>12</v>
      </c>
      <c r="N13" s="35">
        <f>(3*N12/8.31/$A$1/$A$1-4*8.31*$I$3/100000)*1000000</f>
        <v>144.47791315081361</v>
      </c>
      <c r="O13" s="35">
        <f>SQRT((3*O12/8.31/$A$1/$A$1)^2+(4*8.31*$J$3/100000)^2)*1000000</f>
        <v>533.5392816602706</v>
      </c>
      <c r="P13" s="31">
        <f>O13/N13</f>
        <v>3.6928778248847931</v>
      </c>
    </row>
    <row r="14" spans="1:22" ht="15.6" thickTop="1" thickBot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L14" s="6"/>
      <c r="M14" s="6"/>
    </row>
    <row r="15" spans="1:22" ht="15.6" thickTop="1" thickBot="1" x14ac:dyDescent="0.35">
      <c r="A15" s="42">
        <f>55+273</f>
        <v>328</v>
      </c>
      <c r="B15" s="42"/>
      <c r="C15" s="42"/>
      <c r="D15" s="12"/>
      <c r="E15" s="12"/>
      <c r="F15" s="12"/>
      <c r="G15" s="5"/>
      <c r="H15" s="11" t="s">
        <v>9</v>
      </c>
      <c r="I15" s="36"/>
      <c r="J15" s="36" t="s">
        <v>13</v>
      </c>
      <c r="K15" s="37" t="s">
        <v>14</v>
      </c>
      <c r="L15" s="6"/>
      <c r="M15" s="6"/>
    </row>
    <row r="16" spans="1:22" ht="15.6" thickTop="1" thickBot="1" x14ac:dyDescent="0.35">
      <c r="A16" s="11" t="s">
        <v>1</v>
      </c>
      <c r="B16" s="11" t="s">
        <v>0</v>
      </c>
      <c r="C16" s="11" t="s">
        <v>2</v>
      </c>
      <c r="D16" s="13"/>
      <c r="E16" s="13"/>
      <c r="F16" s="13"/>
      <c r="G16" s="14"/>
      <c r="H16" s="19" t="s">
        <v>10</v>
      </c>
      <c r="I16" s="25">
        <f>(G25-A25*C25)/(D25-A25*A25)</f>
        <v>0.70753353973168231</v>
      </c>
      <c r="J16" s="25">
        <f>1/SQRT(11)*SQRT((F25-C25*C25)/(D25-A25*A25)-I16*I16)*10</f>
        <v>0.23033754049455471</v>
      </c>
      <c r="K16" s="38">
        <f>J16/I16</f>
        <v>0.32554999524390821</v>
      </c>
      <c r="L16" s="6"/>
      <c r="M16" s="6"/>
    </row>
    <row r="17" spans="1:13" ht="15.6" thickTop="1" thickBot="1" x14ac:dyDescent="0.35">
      <c r="A17" s="21">
        <v>0</v>
      </c>
      <c r="B17" s="22">
        <v>0</v>
      </c>
      <c r="C17" s="22">
        <f>B17/42.5</f>
        <v>0</v>
      </c>
      <c r="D17" s="21">
        <f>A17*A17</f>
        <v>0</v>
      </c>
      <c r="E17" s="22">
        <f>B17*B17</f>
        <v>0</v>
      </c>
      <c r="F17" s="23">
        <f>C17*C17</f>
        <v>0</v>
      </c>
      <c r="G17" s="21">
        <f>A17*C17</f>
        <v>0</v>
      </c>
      <c r="H17" s="20" t="s">
        <v>12</v>
      </c>
      <c r="I17" s="28">
        <f>A25-I16*C25</f>
        <v>1.1823861773811688</v>
      </c>
      <c r="J17" s="28">
        <f>J16*SQRT(D25-A25*A25)</f>
        <v>0.28756179799055237</v>
      </c>
      <c r="K17" s="39">
        <f>ABS(J17/I17)</f>
        <v>0.24320463440080486</v>
      </c>
      <c r="L17" s="6"/>
      <c r="M17" s="6"/>
    </row>
    <row r="18" spans="1:13" ht="15" thickTop="1" x14ac:dyDescent="0.3">
      <c r="A18" s="24">
        <v>1</v>
      </c>
      <c r="B18" s="25">
        <v>25</v>
      </c>
      <c r="C18" s="25">
        <f t="shared" ref="C18:C24" si="10">B18/42.5</f>
        <v>0.58823529411764708</v>
      </c>
      <c r="D18" s="24">
        <f t="shared" ref="D18:D24" si="11">A18*A18</f>
        <v>1</v>
      </c>
      <c r="E18" s="25">
        <f t="shared" ref="E18:E24" si="12">B18*B18</f>
        <v>625</v>
      </c>
      <c r="F18" s="26">
        <f t="shared" ref="F18:F24" si="13">C18*C18</f>
        <v>0.34602076124567477</v>
      </c>
      <c r="G18" s="19">
        <f t="shared" ref="G18:G24" si="14">A18*C18</f>
        <v>0.58823529411764708</v>
      </c>
      <c r="H18" s="6"/>
      <c r="I18" s="6"/>
      <c r="J18" s="6"/>
      <c r="L18" s="6"/>
      <c r="M18" s="6"/>
    </row>
    <row r="19" spans="1:13" x14ac:dyDescent="0.3">
      <c r="A19" s="24">
        <v>1.5</v>
      </c>
      <c r="B19" s="25">
        <v>38</v>
      </c>
      <c r="C19" s="25">
        <f t="shared" si="10"/>
        <v>0.89411764705882357</v>
      </c>
      <c r="D19" s="24">
        <f t="shared" si="11"/>
        <v>2.25</v>
      </c>
      <c r="E19" s="25">
        <f t="shared" si="12"/>
        <v>1444</v>
      </c>
      <c r="F19" s="26">
        <f t="shared" si="13"/>
        <v>0.79944636678200698</v>
      </c>
      <c r="G19" s="19">
        <f t="shared" si="14"/>
        <v>1.3411764705882354</v>
      </c>
      <c r="H19" s="6"/>
      <c r="I19" s="6"/>
      <c r="J19" s="6"/>
      <c r="L19" s="6"/>
      <c r="M19" s="6"/>
    </row>
    <row r="20" spans="1:13" x14ac:dyDescent="0.3">
      <c r="A20" s="24">
        <v>2</v>
      </c>
      <c r="B20" s="25">
        <v>50</v>
      </c>
      <c r="C20" s="25">
        <f t="shared" si="10"/>
        <v>1.1764705882352942</v>
      </c>
      <c r="D20" s="24">
        <f t="shared" si="11"/>
        <v>4</v>
      </c>
      <c r="E20" s="25">
        <f t="shared" si="12"/>
        <v>2500</v>
      </c>
      <c r="F20" s="26">
        <f t="shared" si="13"/>
        <v>1.3840830449826991</v>
      </c>
      <c r="G20" s="19">
        <f t="shared" si="14"/>
        <v>2.3529411764705883</v>
      </c>
      <c r="H20" s="6"/>
      <c r="I20" s="6"/>
      <c r="J20" s="6"/>
      <c r="L20" s="6"/>
      <c r="M20" s="6"/>
    </row>
    <row r="21" spans="1:13" x14ac:dyDescent="0.3">
      <c r="A21" s="24">
        <v>2.5</v>
      </c>
      <c r="B21" s="25">
        <v>63</v>
      </c>
      <c r="C21" s="25">
        <f t="shared" si="10"/>
        <v>1.4823529411764707</v>
      </c>
      <c r="D21" s="24">
        <f t="shared" si="11"/>
        <v>6.25</v>
      </c>
      <c r="E21" s="25">
        <f t="shared" si="12"/>
        <v>3969</v>
      </c>
      <c r="F21" s="26">
        <f t="shared" si="13"/>
        <v>2.1973702422145331</v>
      </c>
      <c r="G21" s="19">
        <f t="shared" si="14"/>
        <v>3.7058823529411766</v>
      </c>
      <c r="H21" s="6"/>
      <c r="I21" s="6"/>
      <c r="J21" s="6"/>
      <c r="L21" s="6"/>
      <c r="M21" s="6"/>
    </row>
    <row r="22" spans="1:13" x14ac:dyDescent="0.3">
      <c r="A22" s="24">
        <v>3</v>
      </c>
      <c r="B22" s="25">
        <v>85</v>
      </c>
      <c r="C22" s="25">
        <f t="shared" si="10"/>
        <v>2</v>
      </c>
      <c r="D22" s="24">
        <f t="shared" si="11"/>
        <v>9</v>
      </c>
      <c r="E22" s="25">
        <f t="shared" si="12"/>
        <v>7225</v>
      </c>
      <c r="F22" s="26">
        <f t="shared" si="13"/>
        <v>4</v>
      </c>
      <c r="G22" s="19">
        <f t="shared" si="14"/>
        <v>6</v>
      </c>
      <c r="H22" s="6"/>
      <c r="I22" s="6"/>
      <c r="J22" s="6"/>
      <c r="L22" s="6"/>
      <c r="M22" s="6"/>
    </row>
    <row r="23" spans="1:13" x14ac:dyDescent="0.3">
      <c r="A23" s="24">
        <v>3.5</v>
      </c>
      <c r="B23" s="25">
        <v>102</v>
      </c>
      <c r="C23" s="25">
        <f t="shared" si="10"/>
        <v>2.4</v>
      </c>
      <c r="D23" s="24">
        <f t="shared" si="11"/>
        <v>12.25</v>
      </c>
      <c r="E23" s="25">
        <f t="shared" si="12"/>
        <v>10404</v>
      </c>
      <c r="F23" s="26">
        <f t="shared" si="13"/>
        <v>5.76</v>
      </c>
      <c r="G23" s="19">
        <f t="shared" si="14"/>
        <v>8.4</v>
      </c>
      <c r="H23" s="6"/>
      <c r="I23" s="6"/>
      <c r="J23" s="6"/>
      <c r="L23" s="6"/>
      <c r="M23" s="6"/>
    </row>
    <row r="24" spans="1:13" ht="15" thickBot="1" x14ac:dyDescent="0.35">
      <c r="A24" s="27">
        <v>4</v>
      </c>
      <c r="B24" s="28">
        <v>120</v>
      </c>
      <c r="C24" s="28">
        <f t="shared" si="10"/>
        <v>2.8235294117647061</v>
      </c>
      <c r="D24" s="27">
        <f t="shared" si="11"/>
        <v>16</v>
      </c>
      <c r="E24" s="28">
        <f t="shared" si="12"/>
        <v>14400</v>
      </c>
      <c r="F24" s="29">
        <f t="shared" si="13"/>
        <v>7.9723183391003474</v>
      </c>
      <c r="G24" s="20">
        <f t="shared" si="14"/>
        <v>11.294117647058824</v>
      </c>
      <c r="H24" s="6"/>
      <c r="I24" s="6"/>
      <c r="J24" s="6"/>
      <c r="L24" s="6"/>
      <c r="M24" s="6"/>
    </row>
    <row r="25" spans="1:13" ht="15.6" thickTop="1" thickBot="1" x14ac:dyDescent="0.35">
      <c r="A25" s="11">
        <f>AVERAGE(A16:A24)</f>
        <v>2.1875</v>
      </c>
      <c r="B25" s="11">
        <f t="shared" ref="B25" si="15">AVERAGE(B16:B24)</f>
        <v>60.375</v>
      </c>
      <c r="C25" s="11">
        <f t="shared" ref="C25" si="16">AVERAGE(C16:C24)</f>
        <v>1.4205882352941177</v>
      </c>
      <c r="D25" s="11">
        <f t="shared" ref="D25" si="17">AVERAGE(D16:D24)</f>
        <v>6.34375</v>
      </c>
      <c r="E25" s="11">
        <f t="shared" ref="E25" si="18">AVERAGE(E16:E24)</f>
        <v>5070.875</v>
      </c>
      <c r="F25" s="11">
        <f t="shared" ref="F25:G25" si="19">AVERAGE(F16:F24)</f>
        <v>2.8074048442906578</v>
      </c>
      <c r="G25" s="11">
        <f t="shared" si="19"/>
        <v>4.2102941176470594</v>
      </c>
      <c r="H25" s="6"/>
      <c r="I25" s="6"/>
      <c r="J25" s="6"/>
      <c r="L25" s="6"/>
      <c r="M25" s="6"/>
    </row>
    <row r="26" spans="1:13" ht="15.6" thickTop="1" thickBot="1" x14ac:dyDescent="0.35">
      <c r="A26" s="11" t="s">
        <v>3</v>
      </c>
      <c r="B26" s="11" t="s">
        <v>4</v>
      </c>
      <c r="C26" s="11" t="s">
        <v>5</v>
      </c>
      <c r="D26" s="11" t="s">
        <v>6</v>
      </c>
      <c r="E26" s="11" t="s">
        <v>7</v>
      </c>
      <c r="F26" s="11" t="s">
        <v>8</v>
      </c>
      <c r="G26" s="11" t="s">
        <v>11</v>
      </c>
      <c r="H26" s="6"/>
      <c r="I26" s="6"/>
      <c r="J26" s="6"/>
      <c r="L26" s="6"/>
      <c r="M26" s="6"/>
    </row>
    <row r="27" spans="1:13" ht="15.6" thickTop="1" thickBo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L27" s="6"/>
      <c r="M27" s="6"/>
    </row>
    <row r="28" spans="1:13" ht="15.6" thickTop="1" thickBot="1" x14ac:dyDescent="0.35">
      <c r="A28" s="42">
        <f>75+273</f>
        <v>348</v>
      </c>
      <c r="B28" s="42"/>
      <c r="C28" s="42"/>
      <c r="D28" s="12"/>
      <c r="E28" s="12"/>
      <c r="F28" s="12"/>
      <c r="G28" s="5"/>
      <c r="H28" s="11" t="s">
        <v>9</v>
      </c>
      <c r="I28" s="36"/>
      <c r="J28" s="36" t="s">
        <v>13</v>
      </c>
      <c r="K28" s="37" t="s">
        <v>14</v>
      </c>
      <c r="L28" s="6"/>
      <c r="M28" s="6"/>
    </row>
    <row r="29" spans="1:13" ht="15.6" thickTop="1" thickBot="1" x14ac:dyDescent="0.35">
      <c r="A29" s="11" t="s">
        <v>1</v>
      </c>
      <c r="B29" s="11" t="s">
        <v>0</v>
      </c>
      <c r="C29" s="11" t="s">
        <v>2</v>
      </c>
      <c r="D29" s="13"/>
      <c r="E29" s="13"/>
      <c r="F29" s="13"/>
      <c r="G29" s="14"/>
      <c r="H29" s="19" t="s">
        <v>10</v>
      </c>
      <c r="I29" s="25">
        <f>(G38-A38*C38)/(D38-A38*A38)</f>
        <v>0.4311231593723539</v>
      </c>
      <c r="J29" s="25">
        <f>1/SQRT(11)*SQRT((F38-C38*C38)/(D38-A38*A38)-I29*I29)*10</f>
        <v>0.21967023412571438</v>
      </c>
      <c r="K29" s="38">
        <f>J29/I29</f>
        <v>0.50953011767105938</v>
      </c>
      <c r="L29" s="6"/>
      <c r="M29" s="6"/>
    </row>
    <row r="30" spans="1:13" ht="15.6" thickTop="1" thickBot="1" x14ac:dyDescent="0.35">
      <c r="A30" s="21">
        <v>0</v>
      </c>
      <c r="B30" s="22">
        <v>0</v>
      </c>
      <c r="C30" s="22">
        <f>B30/44.1</f>
        <v>0</v>
      </c>
      <c r="D30" s="21">
        <f>A30*A30</f>
        <v>0</v>
      </c>
      <c r="E30" s="22">
        <f>B30*B30</f>
        <v>0</v>
      </c>
      <c r="F30" s="23">
        <f>C30*C30</f>
        <v>0</v>
      </c>
      <c r="G30" s="18">
        <f>A30*C30</f>
        <v>0</v>
      </c>
      <c r="H30" s="20" t="s">
        <v>12</v>
      </c>
      <c r="I30" s="28">
        <f>A38-I29*C38</f>
        <v>1.8392287403029455</v>
      </c>
      <c r="J30" s="28">
        <f>J29*SQRT(D38-A38*A38)</f>
        <v>0.27424434312603663</v>
      </c>
      <c r="K30" s="39">
        <f>ABS(J30/I30)</f>
        <v>0.14910833933622902</v>
      </c>
      <c r="L30" s="6"/>
      <c r="M30" s="6"/>
    </row>
    <row r="31" spans="1:13" ht="15" thickTop="1" x14ac:dyDescent="0.3">
      <c r="A31" s="24">
        <v>1</v>
      </c>
      <c r="B31" s="25">
        <v>13</v>
      </c>
      <c r="C31" s="25">
        <f t="shared" ref="C31:C37" si="20">B31/44.1</f>
        <v>0.29478458049886619</v>
      </c>
      <c r="D31" s="24">
        <f t="shared" ref="D31:D37" si="21">A31*A31</f>
        <v>1</v>
      </c>
      <c r="E31" s="25">
        <f t="shared" ref="E31:E37" si="22">B31*B31</f>
        <v>169</v>
      </c>
      <c r="F31" s="26">
        <f t="shared" ref="F31:F37" si="23">C31*C31</f>
        <v>8.6897948899892524E-2</v>
      </c>
      <c r="G31" s="19">
        <f t="shared" ref="G31:G37" si="24">A31*C31</f>
        <v>0.29478458049886619</v>
      </c>
      <c r="H31" s="6"/>
      <c r="I31" s="6"/>
      <c r="J31" s="6"/>
      <c r="L31" s="6"/>
      <c r="M31" s="6"/>
    </row>
    <row r="32" spans="1:13" x14ac:dyDescent="0.3">
      <c r="A32" s="24">
        <v>1.5</v>
      </c>
      <c r="B32" s="25">
        <v>19</v>
      </c>
      <c r="C32" s="25">
        <f t="shared" si="20"/>
        <v>0.43083900226757366</v>
      </c>
      <c r="D32" s="24">
        <f t="shared" si="21"/>
        <v>2.25</v>
      </c>
      <c r="E32" s="25">
        <f t="shared" si="22"/>
        <v>361</v>
      </c>
      <c r="F32" s="26">
        <f t="shared" si="23"/>
        <v>0.18562224587491835</v>
      </c>
      <c r="G32" s="19">
        <f t="shared" si="24"/>
        <v>0.64625850340136048</v>
      </c>
      <c r="H32" s="6"/>
      <c r="I32" s="6"/>
      <c r="J32" s="6"/>
      <c r="L32" s="6"/>
      <c r="M32" s="6"/>
    </row>
    <row r="33" spans="1:13" x14ac:dyDescent="0.3">
      <c r="A33" s="24">
        <v>2</v>
      </c>
      <c r="B33" s="25">
        <v>28</v>
      </c>
      <c r="C33" s="25">
        <f t="shared" si="20"/>
        <v>0.63492063492063489</v>
      </c>
      <c r="D33" s="24">
        <f t="shared" si="21"/>
        <v>4</v>
      </c>
      <c r="E33" s="25">
        <f t="shared" si="22"/>
        <v>784</v>
      </c>
      <c r="F33" s="26">
        <f t="shared" si="23"/>
        <v>0.40312421264802212</v>
      </c>
      <c r="G33" s="19">
        <f t="shared" si="24"/>
        <v>1.2698412698412698</v>
      </c>
      <c r="H33" s="6"/>
      <c r="I33" s="6"/>
      <c r="J33" s="6"/>
      <c r="L33" s="6"/>
      <c r="M33" s="6"/>
    </row>
    <row r="34" spans="1:13" x14ac:dyDescent="0.3">
      <c r="A34" s="24">
        <v>2.5</v>
      </c>
      <c r="B34" s="25">
        <v>39</v>
      </c>
      <c r="C34" s="25">
        <f t="shared" si="20"/>
        <v>0.88435374149659862</v>
      </c>
      <c r="D34" s="24">
        <f t="shared" si="21"/>
        <v>6.25</v>
      </c>
      <c r="E34" s="25">
        <f t="shared" si="22"/>
        <v>1521</v>
      </c>
      <c r="F34" s="26">
        <f t="shared" si="23"/>
        <v>0.78208154009903275</v>
      </c>
      <c r="G34" s="19">
        <f t="shared" si="24"/>
        <v>2.2108843537414966</v>
      </c>
      <c r="H34" s="6"/>
      <c r="I34" s="6"/>
      <c r="J34" s="6"/>
      <c r="L34" s="6"/>
      <c r="M34" s="6"/>
    </row>
    <row r="35" spans="1:13" x14ac:dyDescent="0.3">
      <c r="A35" s="24">
        <v>3</v>
      </c>
      <c r="B35" s="25">
        <v>48</v>
      </c>
      <c r="C35" s="25">
        <f t="shared" si="20"/>
        <v>1.0884353741496597</v>
      </c>
      <c r="D35" s="24">
        <f t="shared" si="21"/>
        <v>9</v>
      </c>
      <c r="E35" s="25">
        <f t="shared" si="22"/>
        <v>2304</v>
      </c>
      <c r="F35" s="26">
        <f t="shared" si="23"/>
        <v>1.1846915637003097</v>
      </c>
      <c r="G35" s="19">
        <f t="shared" si="24"/>
        <v>3.2653061224489792</v>
      </c>
      <c r="H35" s="6"/>
      <c r="I35" s="6"/>
      <c r="J35" s="6"/>
      <c r="L35" s="6"/>
      <c r="M35" s="6"/>
    </row>
    <row r="36" spans="1:13" x14ac:dyDescent="0.3">
      <c r="A36" s="24">
        <v>3.5</v>
      </c>
      <c r="B36" s="25">
        <v>61</v>
      </c>
      <c r="C36" s="25">
        <f t="shared" si="20"/>
        <v>1.383219954648526</v>
      </c>
      <c r="D36" s="24">
        <f t="shared" si="21"/>
        <v>12.25</v>
      </c>
      <c r="E36" s="25">
        <f t="shared" si="22"/>
        <v>3721</v>
      </c>
      <c r="F36" s="26">
        <f t="shared" si="23"/>
        <v>1.9132974429378702</v>
      </c>
      <c r="G36" s="19">
        <f t="shared" si="24"/>
        <v>4.8412698412698409</v>
      </c>
      <c r="H36" s="6"/>
      <c r="I36" s="6"/>
      <c r="J36" s="6"/>
      <c r="L36" s="6"/>
      <c r="M36" s="6"/>
    </row>
    <row r="37" spans="1:13" ht="15" thickBot="1" x14ac:dyDescent="0.35">
      <c r="A37" s="24">
        <v>4</v>
      </c>
      <c r="B37" s="25">
        <v>77</v>
      </c>
      <c r="C37" s="25">
        <f t="shared" si="20"/>
        <v>1.746031746031746</v>
      </c>
      <c r="D37" s="27">
        <f t="shared" si="21"/>
        <v>16</v>
      </c>
      <c r="E37" s="28">
        <f t="shared" si="22"/>
        <v>5929</v>
      </c>
      <c r="F37" s="29">
        <f t="shared" si="23"/>
        <v>3.0486268581506679</v>
      </c>
      <c r="G37" s="20">
        <f t="shared" si="24"/>
        <v>6.9841269841269842</v>
      </c>
      <c r="H37" s="6"/>
      <c r="I37" s="6"/>
      <c r="J37" s="6"/>
      <c r="L37" s="6"/>
      <c r="M37" s="6"/>
    </row>
    <row r="38" spans="1:13" ht="15.6" thickTop="1" thickBot="1" x14ac:dyDescent="0.35">
      <c r="A38" s="11">
        <f>AVERAGE(A29:A37)</f>
        <v>2.1875</v>
      </c>
      <c r="B38" s="11">
        <f t="shared" ref="B38" si="25">AVERAGE(B29:B37)</f>
        <v>35.625</v>
      </c>
      <c r="C38" s="11">
        <f t="shared" ref="C38" si="26">AVERAGE(C29:C37)</f>
        <v>0.80782312925170063</v>
      </c>
      <c r="D38" s="11">
        <f t="shared" ref="D38" si="27">AVERAGE(D29:D37)</f>
        <v>6.34375</v>
      </c>
      <c r="E38" s="11">
        <f t="shared" ref="E38" si="28">AVERAGE(E29:E37)</f>
        <v>1848.625</v>
      </c>
      <c r="F38" s="11">
        <f t="shared" ref="F38" si="29">AVERAGE(F29:F37)</f>
        <v>0.95054272653883931</v>
      </c>
      <c r="G38" s="11">
        <f t="shared" ref="G38" si="30">AVERAGE(G29:G37)</f>
        <v>2.4390589569160999</v>
      </c>
      <c r="H38" s="6"/>
      <c r="I38" s="6"/>
      <c r="J38" s="6"/>
      <c r="L38" s="6"/>
      <c r="M38" s="6"/>
    </row>
    <row r="39" spans="1:13" ht="15.6" thickTop="1" thickBot="1" x14ac:dyDescent="0.35">
      <c r="A39" s="11" t="s">
        <v>3</v>
      </c>
      <c r="B39" s="11" t="s">
        <v>4</v>
      </c>
      <c r="C39" s="11" t="s">
        <v>5</v>
      </c>
      <c r="D39" s="11" t="s">
        <v>6</v>
      </c>
      <c r="E39" s="11" t="s">
        <v>7</v>
      </c>
      <c r="F39" s="11" t="s">
        <v>8</v>
      </c>
      <c r="G39" s="11" t="s">
        <v>11</v>
      </c>
      <c r="H39" s="6"/>
      <c r="I39" s="6"/>
      <c r="J39" s="6"/>
      <c r="L39" s="6"/>
      <c r="M39" s="6"/>
    </row>
    <row r="40" spans="1:13" ht="15" thickTop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L40" s="6"/>
      <c r="M40" s="6"/>
    </row>
  </sheetData>
  <mergeCells count="9">
    <mergeCell ref="U7:U9"/>
    <mergeCell ref="V7:V9"/>
    <mergeCell ref="A28:C28"/>
    <mergeCell ref="A15:C15"/>
    <mergeCell ref="A1:C1"/>
    <mergeCell ref="T7:T9"/>
    <mergeCell ref="Q7:Q9"/>
    <mergeCell ref="R7:R9"/>
    <mergeCell ref="S7:S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2019-02-04T13:49:27Z</dcterms:created>
  <dcterms:modified xsi:type="dcterms:W3CDTF">2019-02-17T21:15:36Z</dcterms:modified>
</cp:coreProperties>
</file>