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Антоний\Documents\Laboratoty_work\Second_sem\Lab_work_2.2.6\Images\"/>
    </mc:Choice>
  </mc:AlternateContent>
  <xr:revisionPtr revIDLastSave="0" documentId="13_ncr:9_{5EE583AF-FDDD-4970-B2FA-B4B6DAA1BC15}" xr6:coauthVersionLast="45" xr6:coauthVersionMax="45" xr10:uidLastSave="{00000000-0000-0000-0000-000000000000}"/>
  <bookViews>
    <workbookView xWindow="-120" yWindow="-120" windowWidth="20640" windowHeight="11160" xr2:uid="{8ED1EFF0-DD87-5F49-9686-CD10473BE3E2}"/>
  </bookViews>
  <sheets>
    <sheet name="Первая лаба" sheetId="1" r:id="rId1"/>
    <sheet name="Лист1" sheetId="2" r:id="rId2"/>
    <sheet name="Лист3" sheetId="4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48" i="1" l="1"/>
  <c r="E47" i="1"/>
  <c r="E46" i="1"/>
  <c r="E45" i="1"/>
  <c r="E44" i="1"/>
  <c r="E43" i="1"/>
  <c r="E42" i="1"/>
  <c r="D42" i="1"/>
  <c r="E41" i="1"/>
  <c r="D41" i="1"/>
  <c r="D48" i="1"/>
  <c r="D47" i="1"/>
  <c r="D46" i="1"/>
  <c r="D45" i="1"/>
  <c r="D44" i="1"/>
  <c r="D43" i="1"/>
  <c r="B48" i="1"/>
  <c r="B47" i="1"/>
  <c r="B46" i="1"/>
  <c r="B45" i="1"/>
  <c r="B44" i="1"/>
  <c r="B43" i="1"/>
  <c r="B42" i="1"/>
  <c r="B41" i="1"/>
  <c r="A48" i="1"/>
  <c r="A47" i="1"/>
  <c r="A46" i="1"/>
  <c r="A45" i="1"/>
  <c r="A44" i="1"/>
  <c r="A43" i="1"/>
  <c r="A42" i="1"/>
  <c r="A41" i="1"/>
  <c r="D2" i="1"/>
  <c r="E7" i="4"/>
  <c r="E8" i="4"/>
  <c r="E9" i="4"/>
  <c r="E10" i="4"/>
  <c r="E11" i="4"/>
  <c r="E12" i="4"/>
  <c r="E13" i="4"/>
  <c r="E6" i="4"/>
  <c r="O6" i="1"/>
  <c r="O10" i="1"/>
  <c r="O14" i="1"/>
  <c r="O18" i="1"/>
  <c r="O22" i="1"/>
  <c r="O26" i="1"/>
  <c r="O30" i="1"/>
  <c r="O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" i="1"/>
  <c r="F2" i="1"/>
  <c r="H20" i="2"/>
  <c r="H19" i="2"/>
  <c r="H18" i="2"/>
  <c r="H17" i="2"/>
  <c r="J17" i="2" s="1"/>
  <c r="H15" i="2"/>
  <c r="H14" i="2"/>
  <c r="H13" i="2"/>
  <c r="J12" i="2"/>
  <c r="I12" i="2"/>
  <c r="H12" i="2"/>
  <c r="H10" i="2"/>
  <c r="H9" i="2"/>
  <c r="H8" i="2"/>
  <c r="H7" i="2"/>
  <c r="J7" i="2" s="1"/>
  <c r="H5" i="2"/>
  <c r="H4" i="2"/>
  <c r="H3" i="2"/>
  <c r="J2" i="2"/>
  <c r="I2" i="2"/>
  <c r="H2" i="2"/>
  <c r="C20" i="2"/>
  <c r="C19" i="2"/>
  <c r="C18" i="2"/>
  <c r="C17" i="2"/>
  <c r="E17" i="2" s="1"/>
  <c r="C15" i="2"/>
  <c r="C14" i="2"/>
  <c r="C13" i="2"/>
  <c r="C12" i="2"/>
  <c r="E12" i="2" s="1"/>
  <c r="C10" i="2"/>
  <c r="C9" i="2"/>
  <c r="C8" i="2"/>
  <c r="C7" i="2"/>
  <c r="E7" i="2" s="1"/>
  <c r="C5" i="2"/>
  <c r="C4" i="2"/>
  <c r="C3" i="2"/>
  <c r="E2" i="2"/>
  <c r="D2" i="2"/>
  <c r="C2" i="2"/>
  <c r="Y22" i="1"/>
  <c r="X22" i="1"/>
  <c r="I17" i="2" l="1"/>
  <c r="I7" i="2"/>
  <c r="D17" i="2"/>
  <c r="D12" i="2"/>
  <c r="D7" i="2"/>
  <c r="U32" i="1"/>
  <c r="V32" i="1" s="1"/>
  <c r="U33" i="1"/>
  <c r="U34" i="1"/>
  <c r="U31" i="1"/>
  <c r="U28" i="1"/>
  <c r="U29" i="1"/>
  <c r="V29" i="1" s="1"/>
  <c r="U30" i="1"/>
  <c r="V30" i="1" s="1"/>
  <c r="U27" i="1"/>
  <c r="V27" i="1" s="1"/>
  <c r="U24" i="1"/>
  <c r="U25" i="1"/>
  <c r="U26" i="1"/>
  <c r="U23" i="1"/>
  <c r="V23" i="1" s="1"/>
  <c r="U20" i="1"/>
  <c r="U21" i="1"/>
  <c r="U22" i="1"/>
  <c r="V22" i="1" s="1"/>
  <c r="U19" i="1"/>
  <c r="V19" i="1" s="1"/>
  <c r="U16" i="1"/>
  <c r="U17" i="1"/>
  <c r="U18" i="1"/>
  <c r="V18" i="1" s="1"/>
  <c r="U15" i="1"/>
  <c r="V15" i="1" s="1"/>
  <c r="U12" i="1"/>
  <c r="V12" i="1" s="1"/>
  <c r="U13" i="1"/>
  <c r="U14" i="1"/>
  <c r="V14" i="1" s="1"/>
  <c r="V17" i="1"/>
  <c r="V24" i="1"/>
  <c r="V25" i="1"/>
  <c r="V26" i="1"/>
  <c r="U11" i="1"/>
  <c r="V11" i="1" s="1"/>
  <c r="U8" i="1"/>
  <c r="V8" i="1" s="1"/>
  <c r="U9" i="1"/>
  <c r="V9" i="1" s="1"/>
  <c r="U10" i="1"/>
  <c r="V16" i="1"/>
  <c r="V20" i="1"/>
  <c r="V28" i="1"/>
  <c r="V31" i="1"/>
  <c r="U7" i="1"/>
  <c r="V7" i="1" s="1"/>
  <c r="U5" i="1"/>
  <c r="U6" i="1"/>
  <c r="U4" i="1"/>
  <c r="V4" i="1" s="1"/>
  <c r="U3" i="1"/>
  <c r="V3" i="1" s="1"/>
  <c r="L6" i="1"/>
  <c r="L2" i="1"/>
  <c r="E22" i="1"/>
  <c r="D6" i="1"/>
  <c r="V5" i="1"/>
  <c r="V6" i="1"/>
  <c r="V10" i="1"/>
  <c r="V13" i="1"/>
  <c r="V21" i="1"/>
  <c r="V33" i="1"/>
  <c r="V34" i="1"/>
  <c r="Y21" i="1"/>
  <c r="X21" i="1"/>
  <c r="K3" i="1"/>
  <c r="K4" i="1"/>
  <c r="K5" i="1"/>
  <c r="M2" i="1" s="1"/>
  <c r="K6" i="1"/>
  <c r="K7" i="1"/>
  <c r="M6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M22" i="1" s="1"/>
  <c r="K23" i="1"/>
  <c r="K24" i="1"/>
  <c r="K25" i="1"/>
  <c r="K26" i="1"/>
  <c r="K27" i="1"/>
  <c r="K28" i="1"/>
  <c r="K29" i="1"/>
  <c r="K30" i="1"/>
  <c r="K31" i="1"/>
  <c r="K32" i="1"/>
  <c r="K33" i="1"/>
  <c r="K2" i="1"/>
  <c r="C3" i="1"/>
  <c r="C4" i="1"/>
  <c r="C5" i="1"/>
  <c r="E2" i="1" s="1"/>
  <c r="C6" i="1"/>
  <c r="C7" i="1"/>
  <c r="E6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E18" i="1" s="1"/>
  <c r="C22" i="1"/>
  <c r="D22" i="1" s="1"/>
  <c r="C23" i="1"/>
  <c r="C24" i="1"/>
  <c r="C25" i="1"/>
  <c r="C26" i="1"/>
  <c r="C27" i="1"/>
  <c r="C28" i="1"/>
  <c r="C29" i="1"/>
  <c r="C30" i="1"/>
  <c r="C31" i="1"/>
  <c r="C32" i="1"/>
  <c r="C33" i="1"/>
  <c r="C2" i="1"/>
  <c r="C35" i="1" s="1"/>
  <c r="E26" i="1" l="1"/>
  <c r="E10" i="1"/>
  <c r="M26" i="1"/>
  <c r="L18" i="1"/>
  <c r="M10" i="1"/>
  <c r="F5" i="1"/>
  <c r="M18" i="1"/>
  <c r="L10" i="1"/>
  <c r="F20" i="1"/>
  <c r="L22" i="1"/>
  <c r="F19" i="1"/>
  <c r="F18" i="1"/>
  <c r="F12" i="1"/>
  <c r="D18" i="1"/>
  <c r="L26" i="1"/>
  <c r="E30" i="1"/>
  <c r="E14" i="1"/>
  <c r="M30" i="1"/>
  <c r="M14" i="1"/>
  <c r="G2" i="1"/>
  <c r="F11" i="1"/>
  <c r="F28" i="1"/>
  <c r="F10" i="1"/>
  <c r="F27" i="1"/>
  <c r="F4" i="1"/>
  <c r="F26" i="1"/>
  <c r="F3" i="1"/>
  <c r="D10" i="1"/>
  <c r="D26" i="1"/>
  <c r="F33" i="1"/>
  <c r="F25" i="1"/>
  <c r="F17" i="1"/>
  <c r="F9" i="1"/>
  <c r="L14" i="1"/>
  <c r="L30" i="1"/>
  <c r="F32" i="1"/>
  <c r="F24" i="1"/>
  <c r="F16" i="1"/>
  <c r="F8" i="1"/>
  <c r="D14" i="1"/>
  <c r="D30" i="1"/>
  <c r="F31" i="1"/>
  <c r="F23" i="1"/>
  <c r="F15" i="1"/>
  <c r="F7" i="1"/>
  <c r="F30" i="1"/>
  <c r="F22" i="1"/>
  <c r="F14" i="1"/>
  <c r="F6" i="1"/>
  <c r="G6" i="1" s="1"/>
  <c r="F29" i="1"/>
  <c r="F21" i="1"/>
  <c r="F13" i="1"/>
  <c r="G10" i="1" s="1"/>
  <c r="T27" i="1" l="1"/>
  <c r="S27" i="1"/>
  <c r="T7" i="1"/>
  <c r="S7" i="1"/>
  <c r="T31" i="1"/>
  <c r="S31" i="1"/>
  <c r="S11" i="1"/>
  <c r="T11" i="1"/>
  <c r="H10" i="1"/>
  <c r="T15" i="1"/>
  <c r="S15" i="1"/>
  <c r="S19" i="1"/>
  <c r="T19" i="1"/>
  <c r="S3" i="1"/>
  <c r="T3" i="1"/>
  <c r="S23" i="1"/>
  <c r="T23" i="1"/>
  <c r="G26" i="1"/>
  <c r="H30" i="1"/>
  <c r="G30" i="1"/>
  <c r="H18" i="1"/>
  <c r="G18" i="1"/>
  <c r="H26" i="1"/>
  <c r="H22" i="1"/>
  <c r="G22" i="1"/>
  <c r="H2" i="1"/>
  <c r="H6" i="1"/>
  <c r="H14" i="1"/>
  <c r="G14" i="1"/>
</calcChain>
</file>

<file path=xl/sharedStrings.xml><?xml version="1.0" encoding="utf-8"?>
<sst xmlns="http://purl.oclc.org/ooxml/spreadsheetml/main" count="20" uniqueCount="18">
  <si>
    <t>G1</t>
  </si>
  <si>
    <t>G2</t>
  </si>
  <si>
    <t>I1</t>
  </si>
  <si>
    <t>I2</t>
  </si>
  <si>
    <t>T</t>
  </si>
  <si>
    <t>G</t>
  </si>
  <si>
    <t>rad_g</t>
  </si>
  <si>
    <t>rad_i</t>
  </si>
  <si>
    <t>I</t>
  </si>
  <si>
    <t>1/t</t>
  </si>
  <si>
    <t>mu_g</t>
  </si>
  <si>
    <t>mu_i</t>
  </si>
  <si>
    <t>mean_mu_g</t>
  </si>
  <si>
    <t>mean_vel_g</t>
  </si>
  <si>
    <t>sigma</t>
  </si>
  <si>
    <t>Температура</t>
  </si>
  <si>
    <t>eta, text Па cdot с</t>
  </si>
  <si>
    <t>reynolds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</si>
</sst>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"/>
  </numFmts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6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Зависимость скорости от температуры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('Первая лаба'!$M$2,'Первая лаба'!$M$6,'Первая лаба'!$M$10,'Первая лаба'!$M$14,'Первая лаба'!$M$18,'Первая лаба'!$M$22,'Первая лаба'!$M$26,'Первая лаба'!$M$30)</c:f>
                <c:numCache>
                  <c:formatCode>General</c:formatCode>
                  <c:ptCount val="8"/>
                  <c:pt idx="0">
                    <c:v>3.5858744905779116E-2</c:v>
                  </c:pt>
                  <c:pt idx="1">
                    <c:v>5.6482729806314441E-2</c:v>
                  </c:pt>
                  <c:pt idx="2">
                    <c:v>0.22642337847354632</c:v>
                  </c:pt>
                  <c:pt idx="3">
                    <c:v>0.13770606338195965</c:v>
                  </c:pt>
                  <c:pt idx="4">
                    <c:v>0.20867216306901387</c:v>
                  </c:pt>
                  <c:pt idx="5">
                    <c:v>0.24177779417140255</c:v>
                  </c:pt>
                  <c:pt idx="6">
                    <c:v>0.49994557414900287</c:v>
                  </c:pt>
                  <c:pt idx="7">
                    <c:v>6.8402478127086302E-2</c:v>
                  </c:pt>
                </c:numCache>
              </c:numRef>
            </c:plus>
            <c:minus>
              <c:numRef>
                <c:f>('Первая лаба'!$M$2,'Первая лаба'!$M$6,'Первая лаба'!$M$10,'Первая лаба'!$M$14,'Первая лаба'!$M$18,'Первая лаба'!$M$22,'Первая лаба'!$M$26,'Первая лаба'!$M$30)</c:f>
                <c:numCache>
                  <c:formatCode>General</c:formatCode>
                  <c:ptCount val="8"/>
                  <c:pt idx="0">
                    <c:v>3.5858744905779116E-2</c:v>
                  </c:pt>
                  <c:pt idx="1">
                    <c:v>5.6482729806314441E-2</c:v>
                  </c:pt>
                  <c:pt idx="2">
                    <c:v>0.22642337847354632</c:v>
                  </c:pt>
                  <c:pt idx="3">
                    <c:v>0.13770606338195965</c:v>
                  </c:pt>
                  <c:pt idx="4">
                    <c:v>0.20867216306901387</c:v>
                  </c:pt>
                  <c:pt idx="5">
                    <c:v>0.24177779417140255</c:v>
                  </c:pt>
                  <c:pt idx="6">
                    <c:v>0.49994557414900287</c:v>
                  </c:pt>
                  <c:pt idx="7">
                    <c:v>6.8402478127086302E-2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xVal>
            <c:numRef>
              <c:f>('Первая лаба'!$U$3,'Первая лаба'!$U$7,'Первая лаба'!$U$11,'Первая лаба'!$U$15,'Первая лаба'!$U$19,'Первая лаба'!$U$23,'Первая лаба'!$U$27,'Первая лаба'!$U$31)</c:f>
              <c:numCache>
                <c:formatCode>0.00</c:formatCode>
                <c:ptCount val="8"/>
                <c:pt idx="0" formatCode="General">
                  <c:v>293</c:v>
                </c:pt>
                <c:pt idx="1">
                  <c:v>300.5</c:v>
                </c:pt>
                <c:pt idx="2">
                  <c:v>305.5</c:v>
                </c:pt>
                <c:pt idx="3" formatCode="General">
                  <c:v>313</c:v>
                </c:pt>
                <c:pt idx="4" formatCode="General">
                  <c:v>318</c:v>
                </c:pt>
                <c:pt idx="5" formatCode="General">
                  <c:v>323</c:v>
                </c:pt>
                <c:pt idx="6" formatCode="General">
                  <c:v>328</c:v>
                </c:pt>
                <c:pt idx="7" formatCode="General">
                  <c:v>333</c:v>
                </c:pt>
              </c:numCache>
            </c:numRef>
          </c:xVal>
          <c:yVal>
            <c:numRef>
              <c:f>('Первая лаба'!$L$2,'Первая лаба'!$L$6,'Первая лаба'!$L$10,'Первая лаба'!$L$14,'Первая лаба'!$L$18,'Первая лаба'!$L$22,'Первая лаба'!$L$26,'Первая лаба'!$L$30)</c:f>
              <c:numCache>
                <c:formatCode>0.00</c:formatCode>
                <c:ptCount val="8"/>
                <c:pt idx="0">
                  <c:v>0.4838709677419355</c:v>
                </c:pt>
                <c:pt idx="1">
                  <c:v>0.90659340659340659</c:v>
                </c:pt>
                <c:pt idx="2">
                  <c:v>1.0517281861012089</c:v>
                </c:pt>
                <c:pt idx="3">
                  <c:v>2.0625147699029522</c:v>
                </c:pt>
                <c:pt idx="4">
                  <c:v>2.8907488374852854</c:v>
                </c:pt>
                <c:pt idx="5">
                  <c:v>3.8954460057138856</c:v>
                </c:pt>
                <c:pt idx="6">
                  <c:v>4.9885979949011867</c:v>
                </c:pt>
                <c:pt idx="7">
                  <c:v>4.9943995490320985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532-C349-9E15-A5A64A599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56416"/>
        <c:axId val="627058048"/>
      </c:scatterChart>
      <c:valAx>
        <c:axId val="62705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58048"/>
        <c:crosses val="autoZero"/>
        <c:crossBetween val="midCat"/>
        <c:minorUnit val="2"/>
      </c:valAx>
      <c:valAx>
        <c:axId val="6270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705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665410003671415E-2"/>
          <c:y val="0.14391062614365588"/>
          <c:w val="0.7103824346671872"/>
          <c:h val="0.79321728826188243"/>
        </c:manualLayout>
      </c:layout>
      <c:scatterChart>
        <c:scatterStyle val="smoothMarker"/>
        <c:varyColors val="0"/>
        <c:ser>
          <c:idx val="0"/>
          <c:order val="0"/>
          <c:tx>
            <c:v>Стекло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percentage"/>
            <c:noEndCap val="1"/>
            <c:val val="0.4"/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1"/>
            <c:plus>
              <c:numRef>
                <c:f>('Первая лаба'!$H$2,'Первая лаба'!$H$6,'Первая лаба'!$H$10,'Первая лаба'!$H$14,'Первая лаба'!$H$18,'Первая лаба'!$H$22,'Первая лаба'!$H$26,'Первая лаба'!$H$30)</c:f>
                <c:numCache>
                  <c:formatCode>General</c:formatCode>
                  <c:ptCount val="8"/>
                  <c:pt idx="0">
                    <c:v>1.2486493939657343E-2</c:v>
                  </c:pt>
                  <c:pt idx="1">
                    <c:v>4.4180922781133065E-2</c:v>
                  </c:pt>
                  <c:pt idx="2">
                    <c:v>3.0792819777341014E-2</c:v>
                  </c:pt>
                  <c:pt idx="3">
                    <c:v>1.4707491978205128E-2</c:v>
                  </c:pt>
                  <c:pt idx="4">
                    <c:v>6.1335457929088642E-2</c:v>
                  </c:pt>
                  <c:pt idx="5">
                    <c:v>1.8131054979914588E-2</c:v>
                  </c:pt>
                  <c:pt idx="6">
                    <c:v>1.6046896794858097E-2</c:v>
                  </c:pt>
                  <c:pt idx="7">
                    <c:v>1.6080102433073791E-2</c:v>
                  </c:pt>
                </c:numCache>
              </c:numRef>
            </c:plus>
            <c:minus>
              <c:numRef>
                <c:f>('Первая лаба'!$H$2,'Первая лаба'!$H$6,'Первая лаба'!$H$10,'Первая лаба'!$H$14,'Первая лаба'!$H$18,'Первая лаба'!$H$22,'Первая лаба'!$H$26,'Первая лаба'!$H$30)</c:f>
                <c:numCache>
                  <c:formatCode>General</c:formatCode>
                  <c:ptCount val="8"/>
                  <c:pt idx="0">
                    <c:v>1.2486493939657343E-2</c:v>
                  </c:pt>
                  <c:pt idx="1">
                    <c:v>4.4180922781133065E-2</c:v>
                  </c:pt>
                  <c:pt idx="2">
                    <c:v>3.0792819777341014E-2</c:v>
                  </c:pt>
                  <c:pt idx="3">
                    <c:v>1.4707491978205128E-2</c:v>
                  </c:pt>
                  <c:pt idx="4">
                    <c:v>6.1335457929088642E-2</c:v>
                  </c:pt>
                  <c:pt idx="5">
                    <c:v>1.8131054979914588E-2</c:v>
                  </c:pt>
                  <c:pt idx="6">
                    <c:v>1.6046896794858097E-2</c:v>
                  </c:pt>
                  <c:pt idx="7">
                    <c:v>1.6080102433073791E-2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xVal>
            <c:numRef>
              <c:f>('Первая лаба'!$V$3,'Первая лаба'!$V$7,'Первая лаба'!$V$11,'Первая лаба'!$V$15,'Первая лаба'!$V$19,'Первая лаба'!$V$23,'Первая лаба'!$V$27,'Первая лаба'!$V$31)</c:f>
              <c:numCache>
                <c:formatCode>0.000</c:formatCode>
                <c:ptCount val="8"/>
                <c:pt idx="0">
                  <c:v>3.4129692832764505E-3</c:v>
                </c:pt>
                <c:pt idx="1">
                  <c:v>3.3277870216306157E-3</c:v>
                </c:pt>
                <c:pt idx="2">
                  <c:v>3.2733224222585926E-3</c:v>
                </c:pt>
                <c:pt idx="3">
                  <c:v>3.1948881789137379E-3</c:v>
                </c:pt>
                <c:pt idx="4">
                  <c:v>3.1446540880503146E-3</c:v>
                </c:pt>
                <c:pt idx="5">
                  <c:v>3.0959752321981426E-3</c:v>
                </c:pt>
                <c:pt idx="6">
                  <c:v>3.0487804878048782E-3</c:v>
                </c:pt>
                <c:pt idx="7">
                  <c:v>3.003003003003003E-3</c:v>
                </c:pt>
              </c:numCache>
            </c:numRef>
          </c:xVal>
          <c:yVal>
            <c:numRef>
              <c:f>('Первая лаба'!$G$2,'Первая лаба'!$G$6,'Первая лаба'!$G$10,'Первая лаба'!$G$14,'Первая лаба'!$G$18,'Первая лаба'!$G$22,'Первая лаба'!$G$26,'Первая лаба'!$G$30)</c:f>
              <c:numCache>
                <c:formatCode>0.00</c:formatCode>
                <c:ptCount val="8"/>
                <c:pt idx="0">
                  <c:v>0.18781413981809877</c:v>
                </c:pt>
                <c:pt idx="1">
                  <c:v>-0.18640080704574899</c:v>
                </c:pt>
                <c:pt idx="2">
                  <c:v>-0.55814049288895762</c:v>
                </c:pt>
                <c:pt idx="3">
                  <c:v>-1.1080205268656034</c:v>
                </c:pt>
                <c:pt idx="4">
                  <c:v>-1.4103948041544199</c:v>
                </c:pt>
                <c:pt idx="5">
                  <c:v>-1.6364875230928346</c:v>
                </c:pt>
                <c:pt idx="6">
                  <c:v>-1.9370206475252432</c:v>
                </c:pt>
                <c:pt idx="7">
                  <c:v>-2.0632650945176527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873-C345-A7C9-66AF6CD75BE8}"/>
            </c:ext>
          </c:extLst>
        </c:ser>
        <c:ser>
          <c:idx val="1"/>
          <c:order val="1"/>
          <c:tx>
            <c:v>Металл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('Первая лаба'!$T$3,'Первая лаба'!$T$7,'Первая лаба'!$T$11,'Первая лаба'!$T$15,'Первая лаба'!$T$19,'Первая лаба'!$T$23,'Первая лаба'!$T$27,'Первая лаба'!$T$31)</c:f>
                <c:numCache>
                  <c:formatCode>General</c:formatCode>
                  <c:ptCount val="8"/>
                  <c:pt idx="0">
                    <c:v>6.9272348408830883E-2</c:v>
                  </c:pt>
                  <c:pt idx="1">
                    <c:v>6.4101291215801826E-2</c:v>
                  </c:pt>
                  <c:pt idx="2">
                    <c:v>0.19766552423371667</c:v>
                  </c:pt>
                  <c:pt idx="3">
                    <c:v>6.721530230828103E-2</c:v>
                  </c:pt>
                  <c:pt idx="4">
                    <c:v>7.0487575016091014E-2</c:v>
                  </c:pt>
                  <c:pt idx="5">
                    <c:v>6.1938624257434897E-2</c:v>
                  </c:pt>
                  <c:pt idx="6">
                    <c:v>9.7613057511191162E-2</c:v>
                  </c:pt>
                  <c:pt idx="7">
                    <c:v>1.3716881541698317E-2</c:v>
                  </c:pt>
                </c:numCache>
              </c:numRef>
            </c:plus>
            <c:minus>
              <c:numRef>
                <c:f>('Первая лаба'!$T$3,'Первая лаба'!$T$7,'Первая лаба'!$T$11,'Первая лаба'!$T$15,'Первая лаба'!$T$19,'Первая лаба'!$T$23,'Первая лаба'!$T$27,'Первая лаба'!$T$31)</c:f>
                <c:numCache>
                  <c:formatCode>General</c:formatCode>
                  <c:ptCount val="8"/>
                  <c:pt idx="0">
                    <c:v>6.9272348408830883E-2</c:v>
                  </c:pt>
                  <c:pt idx="1">
                    <c:v>6.4101291215801826E-2</c:v>
                  </c:pt>
                  <c:pt idx="2">
                    <c:v>0.19766552423371667</c:v>
                  </c:pt>
                  <c:pt idx="3">
                    <c:v>6.721530230828103E-2</c:v>
                  </c:pt>
                  <c:pt idx="4">
                    <c:v>7.0487575016091014E-2</c:v>
                  </c:pt>
                  <c:pt idx="5">
                    <c:v>6.1938624257434897E-2</c:v>
                  </c:pt>
                  <c:pt idx="6">
                    <c:v>9.7613057511191162E-2</c:v>
                  </c:pt>
                  <c:pt idx="7">
                    <c:v>1.3716881541698317E-2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0.4"/>
            <c:spPr>
              <a:noFill/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errBars>
          <c:xVal>
            <c:numRef>
              <c:f>('Первая лаба'!$V$3,'Первая лаба'!$V$8,'Первая лаба'!$V$12,'Первая лаба'!$V$17,'Первая лаба'!$V$21,'Первая лаба'!$V$24,'Первая лаба'!$V$28,'Первая лаба'!$V$32)</c:f>
              <c:numCache>
                <c:formatCode>0.000</c:formatCode>
                <c:ptCount val="8"/>
                <c:pt idx="0">
                  <c:v>3.4129692832764505E-3</c:v>
                </c:pt>
                <c:pt idx="1">
                  <c:v>3.3277870216306157E-3</c:v>
                </c:pt>
                <c:pt idx="2">
                  <c:v>3.2733224222585926E-3</c:v>
                </c:pt>
                <c:pt idx="3">
                  <c:v>3.1948881789137379E-3</c:v>
                </c:pt>
                <c:pt idx="4">
                  <c:v>3.1446540880503146E-3</c:v>
                </c:pt>
                <c:pt idx="5">
                  <c:v>3.0959752321981426E-3</c:v>
                </c:pt>
                <c:pt idx="6">
                  <c:v>3.0487804878048782E-3</c:v>
                </c:pt>
                <c:pt idx="7">
                  <c:v>3.003003003003003E-3</c:v>
                </c:pt>
              </c:numCache>
            </c:numRef>
          </c:xVal>
          <c:yVal>
            <c:numRef>
              <c:f>('Первая лаба'!$S$3,'Первая лаба'!$S$7,'Первая лаба'!$S$11,'Первая лаба'!$S$15,'Первая лаба'!$S$19,'Первая лаба'!$S$23,'Первая лаба'!$S$27,'Первая лаба'!$S$31)</c:f>
              <c:numCache>
                <c:formatCode>0.00</c:formatCode>
                <c:ptCount val="8"/>
                <c:pt idx="0">
                  <c:v>0.67949282899790875</c:v>
                </c:pt>
                <c:pt idx="1">
                  <c:v>5.161703879118737E-2</c:v>
                </c:pt>
                <c:pt idx="2">
                  <c:v>-8.1344542964533445E-2</c:v>
                </c:pt>
                <c:pt idx="3">
                  <c:v>-0.76868340910764155</c:v>
                </c:pt>
                <c:pt idx="4">
                  <c:v>-1.1060666693838492</c:v>
                </c:pt>
                <c:pt idx="5">
                  <c:v>-1.4048118550090356</c:v>
                </c:pt>
                <c:pt idx="6">
                  <c:v>-1.6499629155186246</c:v>
                </c:pt>
                <c:pt idx="7">
                  <c:v>-1.6546908834692404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7B-46BE-9538-D6249049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879296"/>
        <c:axId val="555669680"/>
      </c:scatterChart>
      <c:valAx>
        <c:axId val="62487929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lumMod val="7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1/</a:t>
                </a:r>
                <a:r>
                  <a:rPr lang="en-US"/>
                  <a:t>T, </a:t>
                </a:r>
              </a:p>
              <a:p>
                <a:pPr>
                  <a:defRPr/>
                </a:pPr>
                <a:r>
                  <a:rPr lang="en-US"/>
                  <a:t>K^-1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0.81549629678558722"/>
              <c:y val="0.81181165567709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tx1"/>
            </a:solidFill>
            <a:round/>
            <a:tailEnd type="stealth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669680"/>
        <c:crossesAt val="-2.6"/>
        <c:crossBetween val="midCat"/>
      </c:valAx>
      <c:valAx>
        <c:axId val="555669680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bg1">
                  <a:lumMod val="7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</a:t>
                </a:r>
                <a:r>
                  <a:rPr lang="ru-RU" baseline="0%"/>
                  <a:t> </a:t>
                </a:r>
                <a:r>
                  <a:rPr lang="el-GR" sz="1000" b="0" i="0" u="none" strike="noStrike" baseline="0%">
                    <a:effectLst/>
                  </a:rPr>
                  <a:t>η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9295239740640725E-2"/>
              <c:y val="1.053435194453299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stealth" w="sm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4879296"/>
        <c:crosses val="autoZero"/>
        <c:crossBetween val="midCat"/>
        <c:majorUnit val="0.6500000000000001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50517644749327"/>
          <c:y val="0.11428367304495622"/>
          <c:w val="0.22842831511426004"/>
          <c:h val="0.41313512363111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>
      <a:glow>
        <a:schemeClr val="bg1"/>
      </a:glo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741449</xdr:colOff>
      <xdr:row>41</xdr:row>
      <xdr:rowOff>14778</xdr:rowOff>
    </xdr:from>
    <xdr:to>
      <xdr:col>17</xdr:col>
      <xdr:colOff>367377</xdr:colOff>
      <xdr:row>54</xdr:row>
      <xdr:rowOff>120996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15302AB-40BC-ED48-B914-8BA1341EA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523851</xdr:colOff>
      <xdr:row>36</xdr:row>
      <xdr:rowOff>161537</xdr:rowOff>
    </xdr:from>
    <xdr:to>
      <xdr:col>18</xdr:col>
      <xdr:colOff>555263</xdr:colOff>
      <xdr:row>50</xdr:row>
      <xdr:rowOff>42990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434B0AE-F2FC-874C-81CC-6CE118CFF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EADD-483C-ED43-B18E-972593EDE3E4}">
  <dimension ref="A1:Y48"/>
  <sheetViews>
    <sheetView tabSelected="1" topLeftCell="A15" zoomScale="55" zoomScaleNormal="55" workbookViewId="0">
      <selection activeCell="D41" sqref="D41:E48"/>
    </sheetView>
  </sheetViews>
  <sheetFormatPr defaultColWidth="11" defaultRowHeight="15.75" x14ac:dyDescent="0.25"/>
  <cols>
    <col min="1" max="1" width="14.5" style="1" customWidth="1"/>
    <col min="6" max="6" width="10.875" style="1"/>
    <col min="9" max="9" width="10.875" style="1"/>
    <col min="10" max="10" width="10.875" style="3"/>
    <col min="11" max="11" width="10.875" style="4"/>
    <col min="15" max="15" width="15.75" bestFit="1" customWidth="1"/>
  </cols>
  <sheetData>
    <row r="1" spans="1:25" x14ac:dyDescent="0.25">
      <c r="A1" s="1" t="s">
        <v>0</v>
      </c>
      <c r="B1" s="1" t="s">
        <v>1</v>
      </c>
      <c r="C1" s="1" t="s">
        <v>5</v>
      </c>
      <c r="D1" s="1" t="s">
        <v>13</v>
      </c>
      <c r="E1" s="1" t="s">
        <v>14</v>
      </c>
      <c r="F1" s="4" t="s">
        <v>10</v>
      </c>
      <c r="G1" s="1" t="s">
        <v>12</v>
      </c>
      <c r="H1" s="1"/>
      <c r="I1" s="1" t="s">
        <v>2</v>
      </c>
      <c r="J1" s="1" t="s">
        <v>3</v>
      </c>
      <c r="K1" s="1" t="s">
        <v>8</v>
      </c>
      <c r="L1" s="1" t="s">
        <v>12</v>
      </c>
      <c r="M1" s="1"/>
    </row>
    <row r="2" spans="1:25" x14ac:dyDescent="0.25">
      <c r="A2" s="1">
        <v>16.05</v>
      </c>
      <c r="B2" s="1">
        <v>16.239999999999998</v>
      </c>
      <c r="C2" s="3">
        <f xml:space="preserve"> (9.9)/((A2+B2)*0.5)</f>
        <v>0.61319293899039951</v>
      </c>
      <c r="D2" s="1">
        <f>C2:C5</f>
        <v>0.61319293899039951</v>
      </c>
      <c r="E2" s="8">
        <f xml:space="preserve"> STDEV(C2:C5)</f>
        <v>7.5363391712570697E-3</v>
      </c>
      <c r="F2" s="1">
        <f xml:space="preserve"> LOG(10^(-1)*0.02*0.02*(2/9)*9.81*$X$21*$X$21*(2.5 - 1.25)/C2, EXP(1))</f>
        <v>0.18781413981809877</v>
      </c>
      <c r="G2" s="1">
        <f>F2:F5</f>
        <v>0.18781413981809877</v>
      </c>
      <c r="H2" s="8">
        <f xml:space="preserve"> STDEV(F2:F5)</f>
        <v>1.2486493939657343E-2</v>
      </c>
      <c r="I2" s="1">
        <v>20.440000000000001</v>
      </c>
      <c r="J2" s="1">
        <v>20.48</v>
      </c>
      <c r="K2" s="1">
        <f>9.9/((I2+J2)*0.5)</f>
        <v>0.4838709677419355</v>
      </c>
      <c r="L2" s="1">
        <f>K2:K5</f>
        <v>0.4838709677419355</v>
      </c>
      <c r="M2" s="8">
        <f xml:space="preserve"> STDEV(K2:K5)</f>
        <v>3.5858744905779116E-2</v>
      </c>
      <c r="N2" s="1"/>
      <c r="O2" s="3">
        <f>EXP(G2)</f>
        <v>1.2066092338960595</v>
      </c>
      <c r="P2" s="7"/>
      <c r="R2" s="1" t="s">
        <v>11</v>
      </c>
      <c r="S2" s="1" t="s">
        <v>12</v>
      </c>
      <c r="T2" s="1"/>
      <c r="U2" s="1" t="s">
        <v>4</v>
      </c>
      <c r="V2" s="3" t="s">
        <v>9</v>
      </c>
      <c r="X2" s="1" t="s">
        <v>6</v>
      </c>
      <c r="Y2" t="s">
        <v>7</v>
      </c>
    </row>
    <row r="3" spans="1:25" x14ac:dyDescent="0.25">
      <c r="A3" s="1">
        <v>16.059999999999999</v>
      </c>
      <c r="B3" s="1">
        <v>16.600000000000001</v>
      </c>
      <c r="C3" s="3">
        <f t="shared" ref="C3:C33" si="0" xml:space="preserve"> (9.9)/((A3+B3)*0.5)</f>
        <v>0.60624617268830383</v>
      </c>
      <c r="D3" s="1"/>
      <c r="E3" s="1"/>
      <c r="F3" s="1">
        <f t="shared" ref="F3:F33" si="1" xml:space="preserve"> LOG(10^(-1)*0.02*0.02*(2/9)*9.81*$X$21*$X$21*(2.5 - 1.25)/C3, EXP(1))</f>
        <v>0.19920764259023385</v>
      </c>
      <c r="G3" s="1"/>
      <c r="H3" s="1"/>
      <c r="I3" s="1">
        <v>18.28</v>
      </c>
      <c r="J3" s="1">
        <v>17.309999999999999</v>
      </c>
      <c r="K3" s="1">
        <f t="shared" ref="K3:K33" si="2">9.9/((I3+J3)*0.5)</f>
        <v>0.55633604945209325</v>
      </c>
      <c r="L3" s="1"/>
      <c r="M3" s="1"/>
      <c r="O3" s="3"/>
      <c r="P3" s="1"/>
      <c r="R3" s="1">
        <f>LOG(0.1*0.02*0.02*(2/9)*9.81*$Y$21*$Y$21*(7.8-1.25)/K2,EXP(1))</f>
        <v>0.67949282899790875</v>
      </c>
      <c r="S3" s="1">
        <f>R3:R6</f>
        <v>0.67949282899790875</v>
      </c>
      <c r="T3" s="8">
        <f xml:space="preserve"> STDEV(R3:R6)</f>
        <v>6.9272348408830883E-2</v>
      </c>
      <c r="U3" s="2">
        <f>20+273</f>
        <v>293</v>
      </c>
      <c r="V3" s="3">
        <f xml:space="preserve"> 1/U3</f>
        <v>3.4129692832764505E-3</v>
      </c>
      <c r="W3">
        <v>1</v>
      </c>
      <c r="X3" s="5">
        <v>80</v>
      </c>
      <c r="Y3" s="5">
        <v>37</v>
      </c>
    </row>
    <row r="4" spans="1:25" x14ac:dyDescent="0.25">
      <c r="A4" s="1">
        <v>16.79</v>
      </c>
      <c r="B4" s="1">
        <v>16.489999999999998</v>
      </c>
      <c r="C4" s="3">
        <f t="shared" si="0"/>
        <v>0.59495192307692313</v>
      </c>
      <c r="D4" s="1"/>
      <c r="E4" s="1"/>
      <c r="F4" s="1">
        <f t="shared" si="1"/>
        <v>0.21801317100092263</v>
      </c>
      <c r="G4" s="1"/>
      <c r="H4" s="1"/>
      <c r="I4" s="1">
        <v>18.72</v>
      </c>
      <c r="J4" s="1">
        <v>18.18</v>
      </c>
      <c r="K4" s="1">
        <f t="shared" si="2"/>
        <v>0.53658536585365857</v>
      </c>
      <c r="L4" s="1"/>
      <c r="M4" s="1"/>
      <c r="O4" s="3"/>
      <c r="R4" s="1">
        <f t="shared" ref="R4:R34" si="3">LOG(0.1*0.02*0.02*(2/9)*9.81*$Y$21*$Y$21*(7.8-1.25)/K3,EXP(1))</f>
        <v>0.53993858743658452</v>
      </c>
      <c r="S4" s="1"/>
      <c r="T4" s="1"/>
      <c r="U4" s="2">
        <f>20+273</f>
        <v>293</v>
      </c>
      <c r="V4" s="3">
        <f t="shared" ref="V4:V34" si="4" xml:space="preserve"> 1/U4</f>
        <v>3.4129692832764505E-3</v>
      </c>
      <c r="W4">
        <v>2</v>
      </c>
      <c r="X4" s="5">
        <v>80</v>
      </c>
      <c r="Y4" s="5">
        <v>42</v>
      </c>
    </row>
    <row r="5" spans="1:25" x14ac:dyDescent="0.25">
      <c r="A5" s="1">
        <v>16.16</v>
      </c>
      <c r="B5" s="1">
        <v>16.52</v>
      </c>
      <c r="C5" s="3">
        <f t="shared" si="0"/>
        <v>0.60587515299877603</v>
      </c>
      <c r="D5" s="1"/>
      <c r="E5" s="1"/>
      <c r="F5" s="1">
        <f t="shared" si="1"/>
        <v>0.19981982503971701</v>
      </c>
      <c r="G5" s="1"/>
      <c r="H5" s="1"/>
      <c r="I5" s="1">
        <v>20.190000000000001</v>
      </c>
      <c r="J5" s="1">
        <v>20.37</v>
      </c>
      <c r="K5" s="1">
        <f t="shared" si="2"/>
        <v>0.48816568047337278</v>
      </c>
      <c r="L5" s="1"/>
      <c r="M5" s="1"/>
      <c r="O5" s="3"/>
      <c r="R5" s="1">
        <f t="shared" si="3"/>
        <v>0.57608543896096454</v>
      </c>
      <c r="S5" s="1"/>
      <c r="T5" s="1"/>
      <c r="U5" s="2">
        <f>20+273</f>
        <v>293</v>
      </c>
      <c r="V5" s="3">
        <f t="shared" si="4"/>
        <v>3.4129692832764505E-3</v>
      </c>
      <c r="W5">
        <v>3</v>
      </c>
      <c r="X5" s="5">
        <v>78</v>
      </c>
      <c r="Y5" s="5">
        <v>41</v>
      </c>
    </row>
    <row r="6" spans="1:25" x14ac:dyDescent="0.25">
      <c r="A6" s="1">
        <v>11.16</v>
      </c>
      <c r="B6" s="1">
        <v>11.05</v>
      </c>
      <c r="C6" s="3">
        <f t="shared" si="0"/>
        <v>0.89149031967582171</v>
      </c>
      <c r="D6" s="1">
        <f xml:space="preserve"> C6:C9</f>
        <v>0.89149031967582171</v>
      </c>
      <c r="E6" s="8">
        <f>STDEV(C6:C9)</f>
        <v>4.0442587592537001E-2</v>
      </c>
      <c r="F6" s="1">
        <f t="shared" si="1"/>
        <v>-0.18640080704574899</v>
      </c>
      <c r="G6" s="1">
        <f xml:space="preserve"> F6:F9</f>
        <v>-0.18640080704574899</v>
      </c>
      <c r="H6" s="8">
        <f>STDEV(F6:F9)</f>
        <v>4.4180922781133065E-2</v>
      </c>
      <c r="I6" s="1">
        <v>11.02</v>
      </c>
      <c r="J6" s="1">
        <v>10.82</v>
      </c>
      <c r="K6" s="1">
        <f t="shared" si="2"/>
        <v>0.90659340659340659</v>
      </c>
      <c r="L6" s="1">
        <f xml:space="preserve"> K6:K9</f>
        <v>0.90659340659340659</v>
      </c>
      <c r="M6" s="8">
        <f>STDEV(K6:K9)</f>
        <v>5.6482729806314441E-2</v>
      </c>
      <c r="O6" s="3">
        <f t="shared" ref="O3:O30" si="5">EXP(G6)</f>
        <v>0.82994088215644102</v>
      </c>
      <c r="R6" s="1">
        <f t="shared" si="3"/>
        <v>0.67065624719741079</v>
      </c>
      <c r="S6" s="1"/>
      <c r="T6" s="1"/>
      <c r="U6" s="2">
        <f>20+273</f>
        <v>293</v>
      </c>
      <c r="V6" s="3">
        <f t="shared" si="4"/>
        <v>3.4129692832764505E-3</v>
      </c>
      <c r="W6">
        <v>4</v>
      </c>
      <c r="X6" s="5">
        <v>83</v>
      </c>
      <c r="Y6" s="5">
        <v>43</v>
      </c>
    </row>
    <row r="7" spans="1:25" x14ac:dyDescent="0.25">
      <c r="A7" s="1">
        <v>11.63</v>
      </c>
      <c r="B7" s="1">
        <v>11.03</v>
      </c>
      <c r="C7" s="3">
        <f t="shared" si="0"/>
        <v>0.87378640776699035</v>
      </c>
      <c r="D7" s="1"/>
      <c r="E7" s="1"/>
      <c r="F7" s="1">
        <f t="shared" si="1"/>
        <v>-0.16634218935222497</v>
      </c>
      <c r="G7" s="1"/>
      <c r="H7" s="1"/>
      <c r="I7" s="1">
        <v>11.92</v>
      </c>
      <c r="J7" s="1">
        <v>11.86</v>
      </c>
      <c r="K7" s="1">
        <f t="shared" si="2"/>
        <v>0.83263246425567705</v>
      </c>
      <c r="L7" s="1"/>
      <c r="M7" s="1"/>
      <c r="O7" s="3"/>
      <c r="R7" s="1">
        <f t="shared" si="3"/>
        <v>5.161703879118737E-2</v>
      </c>
      <c r="S7" s="1">
        <f xml:space="preserve"> R7:R10</f>
        <v>5.161703879118737E-2</v>
      </c>
      <c r="T7" s="8">
        <f>STDEV(R7:R10)</f>
        <v>6.4101291215801826E-2</v>
      </c>
      <c r="U7" s="1">
        <f>27.5+273</f>
        <v>300.5</v>
      </c>
      <c r="V7" s="3">
        <f t="shared" si="4"/>
        <v>3.3277870216306157E-3</v>
      </c>
      <c r="W7">
        <v>5</v>
      </c>
      <c r="X7" s="5">
        <v>82</v>
      </c>
      <c r="Y7" s="5">
        <v>40</v>
      </c>
    </row>
    <row r="8" spans="1:25" x14ac:dyDescent="0.25">
      <c r="A8" s="1">
        <v>10.16</v>
      </c>
      <c r="B8" s="1">
        <v>10.53</v>
      </c>
      <c r="C8" s="3">
        <f t="shared" si="0"/>
        <v>0.956984050265829</v>
      </c>
      <c r="D8" s="1"/>
      <c r="E8" s="1"/>
      <c r="F8" s="1">
        <f t="shared" si="1"/>
        <v>-0.25729295319463352</v>
      </c>
      <c r="G8" s="1"/>
      <c r="H8" s="1"/>
      <c r="I8" s="1">
        <v>11.9</v>
      </c>
      <c r="J8" s="1">
        <v>12.01</v>
      </c>
      <c r="K8" s="1">
        <f t="shared" si="2"/>
        <v>0.82810539523212046</v>
      </c>
      <c r="L8" s="1"/>
      <c r="M8" s="1"/>
      <c r="O8" s="3"/>
      <c r="R8" s="1">
        <f t="shared" si="3"/>
        <v>0.13671877917711875</v>
      </c>
      <c r="S8" s="1"/>
      <c r="T8" s="1"/>
      <c r="U8" s="1">
        <f t="shared" ref="U8:U10" si="6">27.5+273</f>
        <v>300.5</v>
      </c>
      <c r="V8" s="3">
        <f t="shared" si="4"/>
        <v>3.3277870216306157E-3</v>
      </c>
      <c r="W8">
        <v>6</v>
      </c>
      <c r="X8" s="5">
        <v>78</v>
      </c>
      <c r="Y8" s="5">
        <v>40</v>
      </c>
    </row>
    <row r="9" spans="1:25" x14ac:dyDescent="0.25">
      <c r="A9" s="1">
        <v>10.66</v>
      </c>
      <c r="B9" s="1">
        <v>10.29</v>
      </c>
      <c r="C9" s="3">
        <f t="shared" si="0"/>
        <v>0.94510739856801917</v>
      </c>
      <c r="D9" s="1"/>
      <c r="E9" s="1"/>
      <c r="F9" s="1">
        <f t="shared" si="1"/>
        <v>-0.24480479858393847</v>
      </c>
      <c r="G9" s="1"/>
      <c r="H9" s="1"/>
      <c r="I9" s="1">
        <v>10.45</v>
      </c>
      <c r="J9" s="1">
        <v>10.55</v>
      </c>
      <c r="K9" s="1">
        <f t="shared" si="2"/>
        <v>0.94285714285714284</v>
      </c>
      <c r="L9" s="1"/>
      <c r="M9" s="1"/>
      <c r="O9" s="3"/>
      <c r="R9" s="1">
        <f t="shared" si="3"/>
        <v>0.14217066938471637</v>
      </c>
      <c r="S9" s="1"/>
      <c r="T9" s="1"/>
      <c r="U9" s="1">
        <f t="shared" si="6"/>
        <v>300.5</v>
      </c>
      <c r="V9" s="3">
        <f t="shared" si="4"/>
        <v>3.3277870216306157E-3</v>
      </c>
      <c r="W9">
        <v>7</v>
      </c>
      <c r="X9" s="5">
        <v>83</v>
      </c>
      <c r="Y9" s="5">
        <v>45</v>
      </c>
    </row>
    <row r="10" spans="1:25" x14ac:dyDescent="0.25">
      <c r="A10" s="1">
        <v>7.97</v>
      </c>
      <c r="B10" s="1">
        <v>7.91</v>
      </c>
      <c r="C10" s="3">
        <f t="shared" si="0"/>
        <v>1.2468513853904284</v>
      </c>
      <c r="D10" s="1">
        <f xml:space="preserve"> AVERAGE(C10:C13)</f>
        <v>1.2933475426529397</v>
      </c>
      <c r="E10" s="8">
        <f xml:space="preserve"> STDEV(C10:C13)</f>
        <v>3.9705882172486127E-2</v>
      </c>
      <c r="F10" s="1">
        <f t="shared" si="1"/>
        <v>-0.5218829891330955</v>
      </c>
      <c r="G10" s="1">
        <f xml:space="preserve"> AVERAGE(F10:F13)</f>
        <v>-0.55814049288895762</v>
      </c>
      <c r="H10" s="8">
        <f xml:space="preserve"> STDEV(F10:F13)</f>
        <v>3.0792819777341014E-2</v>
      </c>
      <c r="I10" s="1">
        <v>10.45</v>
      </c>
      <c r="J10" s="1">
        <v>10.55</v>
      </c>
      <c r="K10" s="1">
        <f t="shared" si="2"/>
        <v>0.94285714285714284</v>
      </c>
      <c r="L10" s="1">
        <f xml:space="preserve"> AVERAGE(K10:K13)</f>
        <v>1.0517281861012089</v>
      </c>
      <c r="M10" s="8">
        <f xml:space="preserve"> STDEV(K10:K13)</f>
        <v>0.22642337847354632</v>
      </c>
      <c r="O10" s="3">
        <f t="shared" si="5"/>
        <v>0.57227221933117811</v>
      </c>
      <c r="R10" s="1">
        <f t="shared" si="3"/>
        <v>1.2396325637906148E-2</v>
      </c>
      <c r="S10" s="1"/>
      <c r="T10" s="1"/>
      <c r="U10" s="1">
        <f t="shared" si="6"/>
        <v>300.5</v>
      </c>
      <c r="V10" s="3">
        <f t="shared" si="4"/>
        <v>3.3277870216306157E-3</v>
      </c>
      <c r="W10">
        <v>8</v>
      </c>
      <c r="X10" s="5">
        <v>85</v>
      </c>
      <c r="Y10" s="5">
        <v>43</v>
      </c>
    </row>
    <row r="11" spans="1:25" x14ac:dyDescent="0.25">
      <c r="A11" s="1">
        <v>7.7</v>
      </c>
      <c r="B11" s="1">
        <v>7.84</v>
      </c>
      <c r="C11" s="3">
        <f t="shared" si="0"/>
        <v>1.2741312741312742</v>
      </c>
      <c r="D11" s="1"/>
      <c r="E11" s="1"/>
      <c r="F11" s="1">
        <f t="shared" si="1"/>
        <v>-0.54352610001258383</v>
      </c>
      <c r="G11" s="1"/>
      <c r="H11" s="1"/>
      <c r="I11" s="1">
        <v>10.96</v>
      </c>
      <c r="J11" s="1">
        <v>10.84</v>
      </c>
      <c r="K11" s="1">
        <f t="shared" si="2"/>
        <v>0.90825688073394495</v>
      </c>
      <c r="L11" s="1"/>
      <c r="M11" s="1"/>
      <c r="O11" s="3"/>
      <c r="R11" s="1">
        <f t="shared" si="3"/>
        <v>1.2396325637906148E-2</v>
      </c>
      <c r="S11" s="1">
        <f xml:space="preserve"> AVERAGE(R11:R14)</f>
        <v>-8.1344542964533445E-2</v>
      </c>
      <c r="T11" s="8">
        <f xml:space="preserve"> STDEV(R11:R14)</f>
        <v>0.19766552423371667</v>
      </c>
      <c r="U11" s="1">
        <f>32.5+273</f>
        <v>305.5</v>
      </c>
      <c r="V11" s="3">
        <f t="shared" si="4"/>
        <v>3.2733224222585926E-3</v>
      </c>
      <c r="W11">
        <v>9</v>
      </c>
      <c r="X11" s="5">
        <v>83</v>
      </c>
      <c r="Y11" s="5">
        <v>35</v>
      </c>
    </row>
    <row r="12" spans="1:25" x14ac:dyDescent="0.25">
      <c r="A12" s="1">
        <v>7.59</v>
      </c>
      <c r="B12" s="1">
        <v>7.39</v>
      </c>
      <c r="C12" s="3">
        <f t="shared" si="0"/>
        <v>1.3217623497997331</v>
      </c>
      <c r="D12" s="1"/>
      <c r="E12" s="1"/>
      <c r="F12" s="1">
        <f t="shared" si="1"/>
        <v>-0.58022746686301174</v>
      </c>
      <c r="G12" s="1"/>
      <c r="H12" s="1"/>
      <c r="I12" s="1">
        <v>10.29</v>
      </c>
      <c r="J12" s="1">
        <v>10.199999999999999</v>
      </c>
      <c r="K12" s="1">
        <f t="shared" si="2"/>
        <v>0.96632503660322122</v>
      </c>
      <c r="L12" s="1"/>
      <c r="M12" s="1"/>
      <c r="O12" s="3"/>
      <c r="R12" s="1">
        <f t="shared" si="3"/>
        <v>4.9783857709526314E-2</v>
      </c>
      <c r="S12" s="1"/>
      <c r="T12" s="1"/>
      <c r="U12" s="1">
        <f t="shared" ref="U12:U14" si="7">32.5+273</f>
        <v>305.5</v>
      </c>
      <c r="V12" s="3">
        <f t="shared" si="4"/>
        <v>3.2733224222585926E-3</v>
      </c>
      <c r="W12">
        <v>10</v>
      </c>
      <c r="X12" s="5">
        <v>83</v>
      </c>
      <c r="Y12" s="5">
        <v>35</v>
      </c>
    </row>
    <row r="13" spans="1:25" x14ac:dyDescent="0.25">
      <c r="A13" s="1">
        <v>7.54</v>
      </c>
      <c r="B13" s="1">
        <v>7.34</v>
      </c>
      <c r="C13" s="3">
        <f t="shared" si="0"/>
        <v>1.3306451612903227</v>
      </c>
      <c r="D13" s="1"/>
      <c r="E13" s="1"/>
      <c r="F13" s="1">
        <f t="shared" si="1"/>
        <v>-0.5869254155471394</v>
      </c>
      <c r="G13" s="1"/>
      <c r="H13" s="1"/>
      <c r="I13" s="1">
        <v>7.08</v>
      </c>
      <c r="J13" s="1">
        <v>7.17</v>
      </c>
      <c r="K13" s="1">
        <f t="shared" si="2"/>
        <v>1.3894736842105264</v>
      </c>
      <c r="L13" s="1"/>
      <c r="M13" s="1"/>
      <c r="O13" s="3"/>
      <c r="R13" s="1">
        <f t="shared" si="3"/>
        <v>-1.2189149834708686E-2</v>
      </c>
      <c r="S13" s="1"/>
      <c r="T13" s="1"/>
      <c r="U13" s="1">
        <f t="shared" si="7"/>
        <v>305.5</v>
      </c>
      <c r="V13" s="3">
        <f t="shared" si="4"/>
        <v>3.2733224222585926E-3</v>
      </c>
      <c r="W13">
        <v>11</v>
      </c>
      <c r="X13" s="5">
        <v>82</v>
      </c>
      <c r="Y13" s="5">
        <v>44</v>
      </c>
    </row>
    <row r="14" spans="1:25" x14ac:dyDescent="0.25">
      <c r="A14" s="1">
        <v>4.5199999999999996</v>
      </c>
      <c r="B14" s="1">
        <v>4.43</v>
      </c>
      <c r="C14" s="3">
        <f t="shared" si="0"/>
        <v>2.2122905027932962</v>
      </c>
      <c r="D14" s="1">
        <f>AVERAGE(C14:C17)</f>
        <v>2.2408161111337144</v>
      </c>
      <c r="E14" s="8">
        <f xml:space="preserve"> STDEV(C14:C17)</f>
        <v>3.2955646119721051E-2</v>
      </c>
      <c r="F14" s="1">
        <f t="shared" si="1"/>
        <v>-1.0952899126653213</v>
      </c>
      <c r="G14" s="1">
        <f>AVERAGE(F14:F17)</f>
        <v>-1.1080205268656034</v>
      </c>
      <c r="H14" s="8">
        <f xml:space="preserve"> STDEV(F14:F17)</f>
        <v>1.4707491978205128E-2</v>
      </c>
      <c r="I14" s="1">
        <v>5.08</v>
      </c>
      <c r="J14" s="1">
        <v>4.84</v>
      </c>
      <c r="K14" s="1">
        <f t="shared" si="2"/>
        <v>1.995967741935484</v>
      </c>
      <c r="L14" s="1">
        <f>AVERAGE(K14:K17)</f>
        <v>2.0625147699029522</v>
      </c>
      <c r="M14" s="8">
        <f xml:space="preserve"> STDEV(K14:K17)</f>
        <v>0.13770606338195965</v>
      </c>
      <c r="O14" s="3">
        <f t="shared" si="5"/>
        <v>0.33021196026879601</v>
      </c>
      <c r="R14" s="1">
        <f t="shared" si="3"/>
        <v>-0.37536920537085755</v>
      </c>
      <c r="S14" s="1"/>
      <c r="T14" s="1"/>
      <c r="U14" s="1">
        <f t="shared" si="7"/>
        <v>305.5</v>
      </c>
      <c r="V14" s="3">
        <f t="shared" si="4"/>
        <v>3.2733224222585926E-3</v>
      </c>
      <c r="W14">
        <v>12</v>
      </c>
      <c r="X14" s="5">
        <v>84</v>
      </c>
      <c r="Y14" s="5">
        <v>37</v>
      </c>
    </row>
    <row r="15" spans="1:25" x14ac:dyDescent="0.25">
      <c r="A15" s="1">
        <v>4.5</v>
      </c>
      <c r="B15" s="1">
        <v>4.45</v>
      </c>
      <c r="C15" s="3">
        <f t="shared" si="0"/>
        <v>2.2122905027932962</v>
      </c>
      <c r="D15" s="1"/>
      <c r="E15" s="1"/>
      <c r="F15" s="1">
        <f t="shared" si="1"/>
        <v>-1.0952899126653213</v>
      </c>
      <c r="G15" s="1"/>
      <c r="H15" s="1"/>
      <c r="I15" s="1">
        <v>4.3899999999999997</v>
      </c>
      <c r="J15" s="1">
        <v>4.62</v>
      </c>
      <c r="K15" s="1">
        <f t="shared" si="2"/>
        <v>2.1975582685904551</v>
      </c>
      <c r="L15" s="1"/>
      <c r="M15" s="1"/>
      <c r="O15" s="3"/>
      <c r="R15" s="1">
        <f t="shared" si="3"/>
        <v>-0.73757319078873551</v>
      </c>
      <c r="S15" s="1">
        <f>AVERAGE(R15:R18)</f>
        <v>-0.76868340910764155</v>
      </c>
      <c r="T15" s="8">
        <f xml:space="preserve"> STDEV(R15:R18)</f>
        <v>6.721530230828103E-2</v>
      </c>
      <c r="U15" s="2">
        <f>40+273</f>
        <v>313</v>
      </c>
      <c r="V15" s="3">
        <f t="shared" si="4"/>
        <v>3.1948881789137379E-3</v>
      </c>
      <c r="W15">
        <v>13</v>
      </c>
      <c r="X15" s="5">
        <v>84</v>
      </c>
      <c r="Y15" s="5">
        <v>45</v>
      </c>
    </row>
    <row r="16" spans="1:25" x14ac:dyDescent="0.25">
      <c r="A16" s="1">
        <v>4.29</v>
      </c>
      <c r="B16" s="1">
        <v>4.43</v>
      </c>
      <c r="C16" s="3">
        <f t="shared" si="0"/>
        <v>2.2706422018348627</v>
      </c>
      <c r="D16" s="1"/>
      <c r="E16" s="1"/>
      <c r="F16" s="1">
        <f t="shared" si="1"/>
        <v>-1.1213242070311971</v>
      </c>
      <c r="G16" s="1"/>
      <c r="H16" s="1"/>
      <c r="I16" s="1">
        <v>4.62</v>
      </c>
      <c r="J16" s="1">
        <v>4.57</v>
      </c>
      <c r="K16" s="1">
        <f t="shared" si="2"/>
        <v>2.1545157780195865</v>
      </c>
      <c r="L16" s="1"/>
      <c r="M16" s="1"/>
      <c r="O16" s="3"/>
      <c r="R16" s="1">
        <f t="shared" si="3"/>
        <v>-0.83379104046527042</v>
      </c>
      <c r="S16" s="1"/>
      <c r="T16" s="1"/>
      <c r="U16" s="2">
        <f t="shared" ref="U16:U18" si="8">40+273</f>
        <v>313</v>
      </c>
      <c r="V16" s="3">
        <f t="shared" si="4"/>
        <v>3.1948881789137379E-3</v>
      </c>
      <c r="W16">
        <v>14</v>
      </c>
      <c r="X16" s="5">
        <v>80</v>
      </c>
      <c r="Y16" s="5">
        <v>43</v>
      </c>
    </row>
    <row r="17" spans="1:25" x14ac:dyDescent="0.25">
      <c r="A17" s="1">
        <v>4.3899999999999997</v>
      </c>
      <c r="B17" s="1">
        <v>4.34</v>
      </c>
      <c r="C17" s="3">
        <f t="shared" si="0"/>
        <v>2.268041237113402</v>
      </c>
      <c r="D17" s="1"/>
      <c r="E17" s="1"/>
      <c r="F17" s="1">
        <f t="shared" si="1"/>
        <v>-1.1201780751005743</v>
      </c>
      <c r="G17" s="1"/>
      <c r="H17" s="1"/>
      <c r="I17" s="1">
        <v>5.18</v>
      </c>
      <c r="J17" s="1">
        <v>5.23</v>
      </c>
      <c r="K17" s="1">
        <f t="shared" si="2"/>
        <v>1.9020172910662825</v>
      </c>
      <c r="L17" s="1"/>
      <c r="M17" s="1"/>
      <c r="O17" s="3"/>
      <c r="R17" s="1">
        <f t="shared" si="3"/>
        <v>-0.81401017571792122</v>
      </c>
      <c r="S17" s="1"/>
      <c r="T17" s="1"/>
      <c r="U17" s="2">
        <f t="shared" si="8"/>
        <v>313</v>
      </c>
      <c r="V17" s="3">
        <f t="shared" si="4"/>
        <v>3.1948881789137379E-3</v>
      </c>
      <c r="W17">
        <v>15</v>
      </c>
      <c r="X17" s="5">
        <v>85</v>
      </c>
      <c r="Y17" s="5">
        <v>41</v>
      </c>
    </row>
    <row r="18" spans="1:25" x14ac:dyDescent="0.25">
      <c r="A18" s="1">
        <v>3.39</v>
      </c>
      <c r="B18" s="1">
        <v>3.48</v>
      </c>
      <c r="C18" s="3">
        <f t="shared" si="0"/>
        <v>2.8820960698689957</v>
      </c>
      <c r="D18" s="1">
        <f xml:space="preserve"> AVERAGE(C18:C21)</f>
        <v>3.0360754800648815</v>
      </c>
      <c r="E18" s="8">
        <f xml:space="preserve"> STDEV(C18:C21)</f>
        <v>0.19050874871008489</v>
      </c>
      <c r="F18" s="1">
        <f t="shared" si="1"/>
        <v>-1.3597793387178272</v>
      </c>
      <c r="G18" s="1">
        <f xml:space="preserve"> AVERAGE(F18:F21)</f>
        <v>-1.4103948041544199</v>
      </c>
      <c r="H18" s="8">
        <f xml:space="preserve"> STDEV(F18:F21)</f>
        <v>6.1335457929088642E-2</v>
      </c>
      <c r="I18" s="1">
        <v>3.84</v>
      </c>
      <c r="J18" s="1">
        <v>3.45</v>
      </c>
      <c r="K18" s="1">
        <f t="shared" si="2"/>
        <v>2.7160493827160495</v>
      </c>
      <c r="L18" s="1">
        <f xml:space="preserve"> AVERAGE(K18:K21)</f>
        <v>2.8907488374852854</v>
      </c>
      <c r="M18" s="8">
        <f xml:space="preserve"> STDEV(K18:K21)</f>
        <v>0.20867216306901387</v>
      </c>
      <c r="O18" s="3">
        <f t="shared" si="5"/>
        <v>0.24404691339581649</v>
      </c>
      <c r="R18" s="1">
        <f t="shared" si="3"/>
        <v>-0.68935922945863937</v>
      </c>
      <c r="S18" s="1"/>
      <c r="T18" s="1"/>
      <c r="U18" s="2">
        <f t="shared" si="8"/>
        <v>313</v>
      </c>
      <c r="V18" s="3">
        <f t="shared" si="4"/>
        <v>3.1948881789137379E-3</v>
      </c>
      <c r="W18">
        <v>16</v>
      </c>
      <c r="X18" s="5">
        <v>85</v>
      </c>
      <c r="Y18" s="5">
        <v>44</v>
      </c>
    </row>
    <row r="19" spans="1:25" x14ac:dyDescent="0.25">
      <c r="A19" s="1">
        <v>3.46</v>
      </c>
      <c r="B19" s="1">
        <v>3.27</v>
      </c>
      <c r="C19" s="3">
        <f t="shared" si="0"/>
        <v>2.9420505200594351</v>
      </c>
      <c r="D19" s="1"/>
      <c r="E19" s="1"/>
      <c r="F19" s="1">
        <f t="shared" si="1"/>
        <v>-1.3803683012954486</v>
      </c>
      <c r="G19" s="1"/>
      <c r="H19" s="1"/>
      <c r="I19" s="1">
        <v>3.53</v>
      </c>
      <c r="J19" s="1">
        <v>3.58</v>
      </c>
      <c r="K19" s="1">
        <f t="shared" si="2"/>
        <v>2.7848101265822787</v>
      </c>
      <c r="L19" s="1"/>
      <c r="M19" s="1"/>
      <c r="O19" s="3"/>
      <c r="R19" s="1">
        <f t="shared" si="3"/>
        <v>-1.0456225660649503</v>
      </c>
      <c r="S19" s="1">
        <f xml:space="preserve"> AVERAGE(R19:R22)</f>
        <v>-1.1060666693838492</v>
      </c>
      <c r="T19" s="8">
        <f xml:space="preserve"> STDEV(R19:R22)</f>
        <v>7.0487575016091014E-2</v>
      </c>
      <c r="U19" s="2">
        <f xml:space="preserve"> 273 + 45</f>
        <v>318</v>
      </c>
      <c r="V19" s="3">
        <f t="shared" si="4"/>
        <v>3.1446540880503146E-3</v>
      </c>
      <c r="W19">
        <v>17</v>
      </c>
      <c r="X19" s="5">
        <v>85</v>
      </c>
      <c r="Y19" s="5">
        <v>40</v>
      </c>
    </row>
    <row r="20" spans="1:25" x14ac:dyDescent="0.25">
      <c r="A20" s="1">
        <v>3.32</v>
      </c>
      <c r="B20" s="1">
        <v>3.26</v>
      </c>
      <c r="C20" s="3">
        <f t="shared" si="0"/>
        <v>3.0091185410334349</v>
      </c>
      <c r="D20" s="1"/>
      <c r="E20" s="1"/>
      <c r="F20" s="1">
        <f t="shared" si="1"/>
        <v>-1.4029086996148592</v>
      </c>
      <c r="G20" s="1"/>
      <c r="H20" s="1"/>
      <c r="I20" s="1">
        <v>3.11</v>
      </c>
      <c r="J20" s="1">
        <v>3.1</v>
      </c>
      <c r="K20" s="1">
        <f t="shared" si="2"/>
        <v>3.1884057971014492</v>
      </c>
      <c r="L20" s="1"/>
      <c r="M20" s="1"/>
      <c r="O20" s="3"/>
      <c r="R20" s="1">
        <f t="shared" si="3"/>
        <v>-1.0706238682703675</v>
      </c>
      <c r="S20" s="1"/>
      <c r="T20" s="1"/>
      <c r="U20" s="2">
        <f t="shared" ref="U20:U22" si="9" xml:space="preserve"> 273 + 45</f>
        <v>318</v>
      </c>
      <c r="V20" s="3">
        <f t="shared" si="4"/>
        <v>3.1446540880503146E-3</v>
      </c>
      <c r="X20" s="5">
        <v>83</v>
      </c>
      <c r="Y20" s="5"/>
    </row>
    <row r="21" spans="1:25" x14ac:dyDescent="0.25">
      <c r="A21" s="1">
        <v>3.05</v>
      </c>
      <c r="B21" s="1">
        <v>2.93</v>
      </c>
      <c r="C21" s="3">
        <f t="shared" si="0"/>
        <v>3.3110367892976589</v>
      </c>
      <c r="D21" s="1"/>
      <c r="E21" s="1"/>
      <c r="F21" s="1">
        <f t="shared" si="1"/>
        <v>-1.4985228769895447</v>
      </c>
      <c r="G21" s="1"/>
      <c r="H21" s="1"/>
      <c r="I21" s="1">
        <v>3.32</v>
      </c>
      <c r="J21" s="1">
        <v>3.57</v>
      </c>
      <c r="K21" s="1">
        <f t="shared" si="2"/>
        <v>2.8737300435413644</v>
      </c>
      <c r="L21" s="1"/>
      <c r="M21" s="1"/>
      <c r="O21" s="3"/>
      <c r="R21" s="1">
        <f t="shared" si="3"/>
        <v>-1.2059652161401295</v>
      </c>
      <c r="S21" s="1"/>
      <c r="T21" s="1"/>
      <c r="U21" s="2">
        <f t="shared" si="9"/>
        <v>318</v>
      </c>
      <c r="V21" s="3">
        <f t="shared" si="4"/>
        <v>3.1446540880503146E-3</v>
      </c>
      <c r="X21" s="6">
        <f>AVERAGE(X3:X20)</f>
        <v>82.388888888888886</v>
      </c>
      <c r="Y21" s="6">
        <f>AVERAGE(Y3:Y20)</f>
        <v>40.882352941176471</v>
      </c>
    </row>
    <row r="22" spans="1:25" x14ac:dyDescent="0.25">
      <c r="A22" s="1">
        <v>2.56</v>
      </c>
      <c r="B22" s="1">
        <v>2.79</v>
      </c>
      <c r="C22" s="3">
        <f t="shared" si="0"/>
        <v>3.7009345794392527</v>
      </c>
      <c r="D22" s="1">
        <f xml:space="preserve"> AVERAGE(C22:C25)</f>
        <v>3.8013209673807182</v>
      </c>
      <c r="E22" s="8">
        <f xml:space="preserve"> STDEV(C22:C25)</f>
        <v>6.8366442807324401E-2</v>
      </c>
      <c r="F22" s="1">
        <f t="shared" si="1"/>
        <v>-1.60984688404417</v>
      </c>
      <c r="G22" s="1">
        <f xml:space="preserve"> AVERAGE(F22:F25)</f>
        <v>-1.6364875230928346</v>
      </c>
      <c r="H22" s="8">
        <f xml:space="preserve"> STDEV(F22:F25)</f>
        <v>1.8131054979914588E-2</v>
      </c>
      <c r="I22" s="1">
        <v>2.58</v>
      </c>
      <c r="J22" s="1">
        <v>2.89</v>
      </c>
      <c r="K22" s="1">
        <f t="shared" si="2"/>
        <v>3.6197440585009137</v>
      </c>
      <c r="L22" s="1">
        <f xml:space="preserve"> AVERAGE(K22:K25)</f>
        <v>3.8954460057138856</v>
      </c>
      <c r="M22" s="8">
        <f xml:space="preserve"> STDEV(K22:K25)</f>
        <v>0.24177779417140255</v>
      </c>
      <c r="O22" s="3">
        <f t="shared" si="5"/>
        <v>0.19466259072595307</v>
      </c>
      <c r="R22" s="1">
        <f t="shared" si="3"/>
        <v>-1.1020550270599498</v>
      </c>
      <c r="S22" s="1"/>
      <c r="T22" s="1"/>
      <c r="U22" s="2">
        <f t="shared" si="9"/>
        <v>318</v>
      </c>
      <c r="V22" s="3">
        <f t="shared" si="4"/>
        <v>3.1446540880503146E-3</v>
      </c>
      <c r="X22">
        <f>_xlfn.STDEV.S(X3:X20)</f>
        <v>2.3044429948123839</v>
      </c>
      <c r="Y22">
        <f>_xlfn.STDEV.S(Y3:Y20)</f>
        <v>3.2573446421352252</v>
      </c>
    </row>
    <row r="23" spans="1:25" x14ac:dyDescent="0.25">
      <c r="A23" s="1">
        <v>2.5499999999999998</v>
      </c>
      <c r="B23" s="1">
        <v>2.64</v>
      </c>
      <c r="C23" s="3">
        <f t="shared" si="0"/>
        <v>3.8150289017341046</v>
      </c>
      <c r="D23" s="1"/>
      <c r="E23" s="1"/>
      <c r="F23" s="1">
        <f t="shared" si="1"/>
        <v>-1.6402097477742879</v>
      </c>
      <c r="G23" s="1"/>
      <c r="H23" s="1"/>
      <c r="I23" s="1">
        <v>2.63</v>
      </c>
      <c r="J23" s="1">
        <v>2.56</v>
      </c>
      <c r="K23" s="1">
        <f t="shared" si="2"/>
        <v>3.8150289017341046</v>
      </c>
      <c r="L23" s="1"/>
      <c r="M23" s="1"/>
      <c r="O23" s="3"/>
      <c r="R23" s="1">
        <f t="shared" si="3"/>
        <v>-1.332847495651627</v>
      </c>
      <c r="S23" s="1">
        <f xml:space="preserve"> AVERAGE(R23:R26)</f>
        <v>-1.4048118550090356</v>
      </c>
      <c r="T23" s="8">
        <f xml:space="preserve"> STDEV(R23:R26)</f>
        <v>6.1938624257434897E-2</v>
      </c>
      <c r="U23" s="2">
        <f xml:space="preserve"> 273 + 50</f>
        <v>323</v>
      </c>
      <c r="V23" s="3">
        <f t="shared" si="4"/>
        <v>3.0959752321981426E-3</v>
      </c>
    </row>
    <row r="24" spans="1:25" x14ac:dyDescent="0.25">
      <c r="A24" s="1">
        <v>2.56</v>
      </c>
      <c r="B24" s="1">
        <v>2.59</v>
      </c>
      <c r="C24" s="3">
        <f t="shared" si="0"/>
        <v>3.8446601941747574</v>
      </c>
      <c r="D24" s="1"/>
      <c r="E24" s="1"/>
      <c r="F24" s="1">
        <f t="shared" si="1"/>
        <v>-1.6479467302764403</v>
      </c>
      <c r="G24" s="1"/>
      <c r="H24" s="1"/>
      <c r="I24" s="1">
        <v>2.46</v>
      </c>
      <c r="J24" s="1">
        <v>2.5499999999999998</v>
      </c>
      <c r="K24" s="1">
        <f t="shared" si="2"/>
        <v>3.952095808383234</v>
      </c>
      <c r="L24" s="1"/>
      <c r="M24" s="1"/>
      <c r="O24" s="3"/>
      <c r="R24" s="1">
        <f t="shared" si="3"/>
        <v>-1.3853924149077199</v>
      </c>
      <c r="S24" s="1"/>
      <c r="T24" s="1"/>
      <c r="U24" s="2">
        <f t="shared" ref="U24:U26" si="10" xml:space="preserve"> 273 + 50</f>
        <v>323</v>
      </c>
      <c r="V24" s="3">
        <f t="shared" si="4"/>
        <v>3.0959752321981426E-3</v>
      </c>
    </row>
    <row r="25" spans="1:25" x14ac:dyDescent="0.25">
      <c r="A25" s="1">
        <v>2.52</v>
      </c>
      <c r="B25" s="1">
        <v>2.63</v>
      </c>
      <c r="C25" s="3">
        <f t="shared" si="0"/>
        <v>3.8446601941747574</v>
      </c>
      <c r="D25" s="1"/>
      <c r="E25" s="1"/>
      <c r="F25" s="1">
        <f t="shared" si="1"/>
        <v>-1.6479467302764403</v>
      </c>
      <c r="G25" s="1"/>
      <c r="H25" s="1"/>
      <c r="I25" s="1">
        <v>2.2799999999999998</v>
      </c>
      <c r="J25" s="1">
        <v>2.44</v>
      </c>
      <c r="K25" s="1">
        <f t="shared" si="2"/>
        <v>4.1949152542372889</v>
      </c>
      <c r="L25" s="1"/>
      <c r="M25" s="1"/>
      <c r="O25" s="3"/>
      <c r="R25" s="1">
        <f t="shared" si="3"/>
        <v>-1.4206901969887435</v>
      </c>
      <c r="S25" s="1"/>
      <c r="T25" s="1"/>
      <c r="U25" s="2">
        <f t="shared" si="10"/>
        <v>323</v>
      </c>
      <c r="V25" s="3">
        <f t="shared" si="4"/>
        <v>3.0959752321981426E-3</v>
      </c>
    </row>
    <row r="26" spans="1:25" x14ac:dyDescent="0.25">
      <c r="A26" s="1">
        <v>1.86</v>
      </c>
      <c r="B26" s="1">
        <v>1.93</v>
      </c>
      <c r="C26" s="3">
        <f t="shared" si="0"/>
        <v>5.2242744063324542</v>
      </c>
      <c r="D26" s="1">
        <f xml:space="preserve"> AVERAGE(C26:C29)</f>
        <v>5.1338494293706365</v>
      </c>
      <c r="E26" s="8">
        <f xml:space="preserve"> STDEV(C26:C29)</f>
        <v>8.2445431900891E-2</v>
      </c>
      <c r="F26" s="1">
        <f t="shared" si="1"/>
        <v>-1.9545774258577502</v>
      </c>
      <c r="G26" s="1">
        <f xml:space="preserve"> AVERAGE(F26:F29)</f>
        <v>-1.9370206475252432</v>
      </c>
      <c r="H26" s="8">
        <f xml:space="preserve"> STDEV(F26:F29)</f>
        <v>1.6046896794858097E-2</v>
      </c>
      <c r="I26" s="1">
        <v>1.89</v>
      </c>
      <c r="J26" s="1">
        <v>2.11</v>
      </c>
      <c r="K26" s="1">
        <f t="shared" si="2"/>
        <v>4.95</v>
      </c>
      <c r="L26" s="1">
        <f xml:space="preserve"> AVERAGE(K26:K29)</f>
        <v>4.9885979949011867</v>
      </c>
      <c r="M26" s="8">
        <f xml:space="preserve"> STDEV(K26:K29)</f>
        <v>0.49994557414900287</v>
      </c>
      <c r="O26" s="3">
        <f t="shared" si="5"/>
        <v>0.14413273292699805</v>
      </c>
      <c r="R26" s="1">
        <f t="shared" si="3"/>
        <v>-1.4803173124880531</v>
      </c>
      <c r="S26" s="1"/>
      <c r="T26" s="1"/>
      <c r="U26" s="2">
        <f t="shared" si="10"/>
        <v>323</v>
      </c>
      <c r="V26" s="3">
        <f t="shared" si="4"/>
        <v>3.0959752321981426E-3</v>
      </c>
    </row>
    <row r="27" spans="1:25" x14ac:dyDescent="0.25">
      <c r="A27" s="1">
        <v>1.84</v>
      </c>
      <c r="B27" s="1">
        <v>1.98</v>
      </c>
      <c r="C27" s="3">
        <f t="shared" si="0"/>
        <v>5.1832460732984291</v>
      </c>
      <c r="D27" s="1"/>
      <c r="E27" s="1"/>
      <c r="F27" s="1">
        <f t="shared" si="1"/>
        <v>-1.9466930223336012</v>
      </c>
      <c r="G27" s="1"/>
      <c r="H27" s="1"/>
      <c r="I27" s="1">
        <v>2.0299999999999998</v>
      </c>
      <c r="J27" s="1">
        <v>2.1</v>
      </c>
      <c r="K27" s="1">
        <f t="shared" si="2"/>
        <v>4.7941888619854724</v>
      </c>
      <c r="L27" s="1"/>
      <c r="M27" s="1"/>
      <c r="O27" s="3"/>
      <c r="R27" s="1">
        <f t="shared" si="3"/>
        <v>-1.6458317509656264</v>
      </c>
      <c r="S27" s="1">
        <f xml:space="preserve"> AVERAGE(R27:R30)</f>
        <v>-1.6499629155186246</v>
      </c>
      <c r="T27" s="8">
        <f xml:space="preserve"> STDEV(R27:R30)</f>
        <v>9.7613057511191162E-2</v>
      </c>
      <c r="U27" s="2">
        <f xml:space="preserve"> 273 + 55</f>
        <v>328</v>
      </c>
      <c r="V27" s="3">
        <f t="shared" si="4"/>
        <v>3.0487804878048782E-3</v>
      </c>
    </row>
    <row r="28" spans="1:25" x14ac:dyDescent="0.25">
      <c r="A28" s="1">
        <v>1.93</v>
      </c>
      <c r="B28" s="1">
        <v>1.98</v>
      </c>
      <c r="C28" s="3">
        <f t="shared" si="0"/>
        <v>5.0639386189258309</v>
      </c>
      <c r="D28" s="1"/>
      <c r="E28" s="1"/>
      <c r="F28" s="1">
        <f t="shared" si="1"/>
        <v>-1.9234060709548106</v>
      </c>
      <c r="G28" s="1"/>
      <c r="H28" s="1"/>
      <c r="I28" s="1">
        <v>1.69</v>
      </c>
      <c r="J28" s="1">
        <v>1.79</v>
      </c>
      <c r="K28" s="1">
        <f t="shared" si="2"/>
        <v>5.6896551724137936</v>
      </c>
      <c r="L28" s="1"/>
      <c r="M28" s="1"/>
      <c r="O28" s="3"/>
      <c r="R28" s="1">
        <f t="shared" si="3"/>
        <v>-1.6138487051125756</v>
      </c>
      <c r="S28" s="1"/>
      <c r="T28" s="1"/>
      <c r="U28" s="2">
        <f t="shared" ref="U28:U30" si="11" xml:space="preserve"> 273 + 55</f>
        <v>328</v>
      </c>
      <c r="V28" s="3">
        <f t="shared" si="4"/>
        <v>3.0487804878048782E-3</v>
      </c>
    </row>
    <row r="29" spans="1:25" x14ac:dyDescent="0.25">
      <c r="A29" s="1">
        <v>2.0099999999999998</v>
      </c>
      <c r="B29" s="1">
        <v>1.9</v>
      </c>
      <c r="C29" s="3">
        <f t="shared" si="0"/>
        <v>5.0639386189258317</v>
      </c>
      <c r="D29" s="1"/>
      <c r="E29" s="1"/>
      <c r="F29" s="1">
        <f t="shared" si="1"/>
        <v>-1.9234060709548109</v>
      </c>
      <c r="G29" s="1"/>
      <c r="H29" s="1"/>
      <c r="I29" s="1">
        <v>2.27</v>
      </c>
      <c r="J29" s="1">
        <v>2.11</v>
      </c>
      <c r="K29" s="1">
        <f t="shared" si="2"/>
        <v>4.5205479452054798</v>
      </c>
      <c r="L29" s="1"/>
      <c r="M29" s="1"/>
      <c r="O29" s="3"/>
      <c r="R29" s="1">
        <f t="shared" si="3"/>
        <v>-1.785093818299134</v>
      </c>
      <c r="S29" s="1"/>
      <c r="T29" s="1"/>
      <c r="U29" s="2">
        <f t="shared" si="11"/>
        <v>328</v>
      </c>
      <c r="V29" s="3">
        <f t="shared" si="4"/>
        <v>3.0487804878048782E-3</v>
      </c>
    </row>
    <row r="30" spans="1:25" x14ac:dyDescent="0.25">
      <c r="A30" s="1">
        <v>1.81</v>
      </c>
      <c r="B30" s="1">
        <v>1.66</v>
      </c>
      <c r="C30" s="3">
        <f t="shared" si="0"/>
        <v>5.7060518731988479</v>
      </c>
      <c r="D30" s="1">
        <f xml:space="preserve"> AVERAGE(C30:C33)</f>
        <v>5.8246588410893496</v>
      </c>
      <c r="E30" s="8">
        <f xml:space="preserve"> STDEV(C30:C33)</f>
        <v>9.3486324301955762E-2</v>
      </c>
      <c r="F30" s="1">
        <f t="shared" si="1"/>
        <v>-2.0427888509933174</v>
      </c>
      <c r="G30" s="1">
        <f xml:space="preserve"> AVERAGE(F30:F33)</f>
        <v>-2.0632650945176527</v>
      </c>
      <c r="H30" s="8">
        <f xml:space="preserve"> STDEV(F30:F33)</f>
        <v>1.6080102433073791E-2</v>
      </c>
      <c r="I30" s="1">
        <v>1.84</v>
      </c>
      <c r="J30" s="1">
        <v>2.08</v>
      </c>
      <c r="K30" s="1">
        <f t="shared" si="2"/>
        <v>5.0510204081632653</v>
      </c>
      <c r="L30" s="1">
        <f xml:space="preserve"> AVERAGE(K30:K33)</f>
        <v>4.9943995490320985</v>
      </c>
      <c r="M30" s="8">
        <f xml:space="preserve"> STDEV(K30:K33)</f>
        <v>6.8402478127086302E-2</v>
      </c>
      <c r="O30" s="3">
        <f t="shared" si="5"/>
        <v>0.12703849928098132</v>
      </c>
      <c r="R30" s="1">
        <f t="shared" si="3"/>
        <v>-1.5550773876971622</v>
      </c>
      <c r="S30" s="1"/>
      <c r="T30" s="1"/>
      <c r="U30" s="2">
        <f t="shared" si="11"/>
        <v>328</v>
      </c>
      <c r="V30" s="3">
        <f t="shared" si="4"/>
        <v>3.0487804878048782E-3</v>
      </c>
    </row>
    <row r="31" spans="1:25" x14ac:dyDescent="0.25">
      <c r="A31" s="1">
        <v>1.71</v>
      </c>
      <c r="B31" s="1">
        <v>1.7</v>
      </c>
      <c r="C31" s="3">
        <f t="shared" si="0"/>
        <v>5.806451612903226</v>
      </c>
      <c r="E31" s="1"/>
      <c r="F31" s="1">
        <f t="shared" si="1"/>
        <v>-2.0602311536566598</v>
      </c>
      <c r="H31" s="1"/>
      <c r="I31" s="1">
        <v>1.92</v>
      </c>
      <c r="J31" s="1">
        <v>2.0699999999999998</v>
      </c>
      <c r="K31" s="1">
        <f t="shared" si="2"/>
        <v>4.9624060150375948</v>
      </c>
      <c r="M31" s="1"/>
      <c r="R31" s="1">
        <f t="shared" si="3"/>
        <v>-1.6660344582831457</v>
      </c>
      <c r="S31" s="1">
        <f xml:space="preserve"> AVERAGE(R31:R34)</f>
        <v>-1.6546908834692404</v>
      </c>
      <c r="T31" s="8">
        <f xml:space="preserve"> STDEV(R31:R34)</f>
        <v>1.3716881541698317E-2</v>
      </c>
      <c r="U31" s="2">
        <f xml:space="preserve"> 60 + 273</f>
        <v>333</v>
      </c>
      <c r="V31" s="3">
        <f t="shared" si="4"/>
        <v>3.003003003003003E-3</v>
      </c>
    </row>
    <row r="32" spans="1:25" x14ac:dyDescent="0.25">
      <c r="A32" s="1">
        <v>1.7</v>
      </c>
      <c r="B32" s="1">
        <v>1.68</v>
      </c>
      <c r="C32" s="3">
        <f t="shared" si="0"/>
        <v>5.8579881656804735</v>
      </c>
      <c r="E32" s="1"/>
      <c r="F32" s="1">
        <f t="shared" si="1"/>
        <v>-2.0690677354571578</v>
      </c>
      <c r="H32" s="1"/>
      <c r="I32" s="1">
        <v>1.97</v>
      </c>
      <c r="J32" s="1">
        <v>1.95</v>
      </c>
      <c r="K32" s="1">
        <f t="shared" si="2"/>
        <v>5.0510204081632653</v>
      </c>
      <c r="M32" s="1"/>
      <c r="R32" s="1">
        <f t="shared" si="3"/>
        <v>-1.648334881183745</v>
      </c>
      <c r="T32" s="1"/>
      <c r="U32" s="2">
        <f t="shared" ref="U32:U34" si="12" xml:space="preserve"> 60 + 273</f>
        <v>333</v>
      </c>
      <c r="V32" s="3">
        <f t="shared" si="4"/>
        <v>3.003003003003003E-3</v>
      </c>
    </row>
    <row r="33" spans="1:22" x14ac:dyDescent="0.25">
      <c r="A33" s="1">
        <v>1.65</v>
      </c>
      <c r="B33" s="1">
        <v>1.69</v>
      </c>
      <c r="C33" s="3">
        <f t="shared" si="0"/>
        <v>5.9281437125748511</v>
      </c>
      <c r="E33" s="1"/>
      <c r="F33" s="1">
        <f t="shared" si="1"/>
        <v>-2.0809726379634763</v>
      </c>
      <c r="H33" s="1"/>
      <c r="I33" s="1">
        <v>1.98</v>
      </c>
      <c r="J33" s="1">
        <v>2.0499999999999998</v>
      </c>
      <c r="K33" s="1">
        <f t="shared" si="2"/>
        <v>4.9131513647642686</v>
      </c>
      <c r="M33" s="1"/>
      <c r="R33" s="1">
        <f t="shared" si="3"/>
        <v>-1.6660344582831457</v>
      </c>
      <c r="T33" s="1"/>
      <c r="U33" s="2">
        <f t="shared" si="12"/>
        <v>333</v>
      </c>
      <c r="V33" s="3">
        <f t="shared" si="4"/>
        <v>3.003003003003003E-3</v>
      </c>
    </row>
    <row r="34" spans="1:22" x14ac:dyDescent="0.25">
      <c r="D34" s="4"/>
      <c r="R34" s="1">
        <f t="shared" si="3"/>
        <v>-1.6383597361269255</v>
      </c>
      <c r="T34" s="1"/>
      <c r="U34" s="2">
        <f t="shared" si="12"/>
        <v>333</v>
      </c>
      <c r="V34" s="3">
        <f t="shared" si="4"/>
        <v>3.003003003003003E-3</v>
      </c>
    </row>
    <row r="35" spans="1:22" x14ac:dyDescent="0.25">
      <c r="C35" s="3">
        <f xml:space="preserve"> AVEDEV(C2:C5)</f>
        <v>5.0573119308387482E-3</v>
      </c>
    </row>
    <row r="40" spans="1:22" x14ac:dyDescent="0.25">
      <c r="A40" s="1" t="s">
        <v>17</v>
      </c>
    </row>
    <row r="41" spans="1:22" x14ac:dyDescent="0.25">
      <c r="A41" s="1">
        <f>(D2/100*1245*X21*0.02*10^-3)/O2</f>
        <v>1.0425538435460471E-2</v>
      </c>
      <c r="B41" s="1">
        <f>(L2/100*1245*X$21*0.02*10^-3)/O2</f>
        <v>8.2267995132213733E-3</v>
      </c>
      <c r="D41" s="1">
        <f>(2/9)*((Y$21^2)*0.25*10^-6*7100)/$O2</f>
        <v>0.54637518367310045</v>
      </c>
      <c r="E41" s="1">
        <f>(2/9)*((X$21^2)*0.25*10^-6*2500)/$O2</f>
        <v>0.78133656854026423</v>
      </c>
    </row>
    <row r="42" spans="1:22" x14ac:dyDescent="0.25">
      <c r="A42" s="1">
        <f>(D6/100*1245*X$21*0.02*10^-3)/O6</f>
        <v>2.2036238628117329E-2</v>
      </c>
      <c r="B42" s="1">
        <f>(L6/100*1245*X$21*0.02*10^-3)/O6</f>
        <v>2.2409563183630306E-2</v>
      </c>
      <c r="D42" s="1">
        <f>(2/9)*(($Y$21^2)*0.25*10^-6*7100)/O6</f>
        <v>0.79434735167962245</v>
      </c>
      <c r="E42" s="1">
        <f>(2/9)*((X$21^2)*0.25*10^-6*2500)/$O6</f>
        <v>1.1359458711465615</v>
      </c>
    </row>
    <row r="43" spans="1:22" x14ac:dyDescent="0.25">
      <c r="A43" s="1">
        <f>(D10/100*1245*X$21*0.02*10^-3)/O10</f>
        <v>4.6363965230761188E-2</v>
      </c>
      <c r="B43" s="1">
        <f>(L10/100*1245*X$21*0.02*10^-3)/O10</f>
        <v>3.7702386593309503E-2</v>
      </c>
      <c r="D43" s="1">
        <f>(2/9)*((Y$21^2)*0.25*10^-6*7100)/O10</f>
        <v>1.1520065443017762</v>
      </c>
      <c r="E43" s="1">
        <f>(2/9)*((X$21^2)*0.25*10^-6*2500)/$O10</f>
        <v>1.6474116452536682</v>
      </c>
    </row>
    <row r="44" spans="1:22" x14ac:dyDescent="0.25">
      <c r="A44" s="1">
        <f>(D14/100*1245*X$21*0.02*10^-3)/O14</f>
        <v>0.13921351913824156</v>
      </c>
      <c r="B44" s="1">
        <f>(L14/100*1245*X$21*0.02*10^-3)/O14</f>
        <v>0.1281363240678953</v>
      </c>
      <c r="D44" s="1">
        <f>(2/9)*((Y$21^2)*0.25*10^-6*7100)/O14</f>
        <v>1.99647929546517</v>
      </c>
      <c r="E44" s="1">
        <f>(2/9)*((X$21^2)*0.25*10^-6*2500)/$O14</f>
        <v>2.8550386776236731</v>
      </c>
    </row>
    <row r="45" spans="1:22" x14ac:dyDescent="0.25">
      <c r="A45" s="1">
        <f>(D18/100*1245*X$21*0.02*10^-3)/O18</f>
        <v>0.25521561241765223</v>
      </c>
      <c r="B45" s="1">
        <f>(L18/100*1245*X$21*0.02*10^-3)/O18</f>
        <v>0.24299930609388443</v>
      </c>
      <c r="D45" s="1">
        <f>(2/9)*((Y$21^2)*0.25*10^-6*7100)/O18</f>
        <v>2.7013713577371545</v>
      </c>
      <c r="E45" s="1">
        <f>(2/9)*((X$21^2)*0.25*10^-6*2500)/$O18</f>
        <v>3.8630602012666362</v>
      </c>
    </row>
    <row r="46" spans="1:22" x14ac:dyDescent="0.25">
      <c r="A46" s="1">
        <f>(D22/100*1245*X$21*0.02*10^-3)/O22</f>
        <v>0.4006083850086346</v>
      </c>
      <c r="B46" s="1">
        <f>(L22/100*1245*X$21*0.02*10^-3)/O22</f>
        <v>0.41052790506997472</v>
      </c>
      <c r="D46" s="1">
        <f>(2/9)*((Y$21^2)*0.25*10^-6*7100)/O22</f>
        <v>3.3866873924416727</v>
      </c>
      <c r="E46" s="1">
        <f>(2/9)*((X$21^2)*0.25*10^-6*2500)/$O22</f>
        <v>4.8430872869075161</v>
      </c>
    </row>
    <row r="47" spans="1:22" x14ac:dyDescent="0.25">
      <c r="A47" s="1">
        <f>(D26/100*1245*X$21*0.02*10^-3)/O26</f>
        <v>0.73071580107560108</v>
      </c>
      <c r="B47" s="1">
        <f>(L26/100*1245*X$21*0.02*10^-3)/O26</f>
        <v>0.71004173968055628</v>
      </c>
      <c r="D47" s="1">
        <f>(2/9)*((Y$21^2)*0.25*10^-6*7100)/O26</f>
        <v>4.5739876598713254</v>
      </c>
      <c r="E47" s="1">
        <f>(2/9)*((X$21^2)*0.25*10^-6*2500)/$O26</f>
        <v>6.5409702517668062</v>
      </c>
    </row>
    <row r="48" spans="1:22" x14ac:dyDescent="0.25">
      <c r="A48" s="1">
        <f>(D30/100*1245*X$21*0.02*10^-3)/O30</f>
        <v>0.94059600849176117</v>
      </c>
      <c r="B48" s="1">
        <f>(L30/100*1245*X$21*0.02*10^-3)/O30</f>
        <v>0.80652144765856515</v>
      </c>
      <c r="D48" s="1">
        <f>(2/9)*((Y$21^2)*0.25*10^-6*7100)/O30</f>
        <v>5.1894610336467917</v>
      </c>
      <c r="E48" s="1">
        <f>(2/9)*((X$21^2)*0.25*10^-6*2500)/$O30</f>
        <v>7.4211197685525878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4CC1-7A29-4A73-B26D-0F9BA8FC761B}">
  <dimension ref="A1:J20"/>
  <sheetViews>
    <sheetView topLeftCell="A6" workbookViewId="0">
      <selection activeCell="J20" sqref="A1:J20"/>
    </sheetView>
  </sheetViews>
  <sheetFormatPr defaultRowHeight="15.75" x14ac:dyDescent="0.25"/>
  <sheetData>
    <row r="1" spans="1:10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">
        <v>20.440000000000001</v>
      </c>
      <c r="B2" s="1">
        <v>20.48</v>
      </c>
      <c r="C2" s="1">
        <f>9.9/((A2+B2)*0.5)</f>
        <v>0.4838709677419355</v>
      </c>
      <c r="D2" s="1">
        <f>C2:C5</f>
        <v>0.4838709677419355</v>
      </c>
      <c r="E2" s="8">
        <f xml:space="preserve"> STDEV(C2:C5)</f>
        <v>3.5858744905779116E-2</v>
      </c>
      <c r="F2" s="1">
        <v>3.84</v>
      </c>
      <c r="G2" s="1">
        <v>3.45</v>
      </c>
      <c r="H2" s="1">
        <f t="shared" ref="H2:H5" si="0">9.9/((F2+G2)*0.5)</f>
        <v>2.7160493827160495</v>
      </c>
      <c r="I2" s="1">
        <f xml:space="preserve"> AVERAGE(H2:H5)</f>
        <v>2.8907488374852854</v>
      </c>
      <c r="J2" s="8">
        <f xml:space="preserve"> STDEV(H2:H5)</f>
        <v>0.20867216306901387</v>
      </c>
    </row>
    <row r="3" spans="1:10" x14ac:dyDescent="0.25">
      <c r="A3" s="1">
        <v>18.28</v>
      </c>
      <c r="B3" s="1">
        <v>17.309999999999999</v>
      </c>
      <c r="C3" s="1">
        <f t="shared" ref="C3:C5" si="1">9.9/((A3+B3)*0.5)</f>
        <v>0.55633604945209325</v>
      </c>
      <c r="D3" s="1"/>
      <c r="E3" s="1"/>
      <c r="F3" s="1">
        <v>3.53</v>
      </c>
      <c r="G3" s="1">
        <v>3.58</v>
      </c>
      <c r="H3" s="1">
        <f t="shared" si="0"/>
        <v>2.7848101265822787</v>
      </c>
      <c r="I3" s="1"/>
      <c r="J3" s="1"/>
    </row>
    <row r="4" spans="1:10" x14ac:dyDescent="0.25">
      <c r="A4" s="1">
        <v>18.72</v>
      </c>
      <c r="B4" s="1">
        <v>18.18</v>
      </c>
      <c r="C4" s="1">
        <f t="shared" si="1"/>
        <v>0.53658536585365857</v>
      </c>
      <c r="D4" s="1"/>
      <c r="E4" s="1"/>
      <c r="F4" s="1">
        <v>3.11</v>
      </c>
      <c r="G4" s="1">
        <v>3.1</v>
      </c>
      <c r="H4" s="1">
        <f t="shared" si="0"/>
        <v>3.1884057971014492</v>
      </c>
      <c r="I4" s="1"/>
      <c r="J4" s="1"/>
    </row>
    <row r="5" spans="1:10" x14ac:dyDescent="0.25">
      <c r="A5" s="1">
        <v>20.190000000000001</v>
      </c>
      <c r="B5" s="1">
        <v>20.37</v>
      </c>
      <c r="C5" s="1">
        <f t="shared" si="1"/>
        <v>0.48816568047337278</v>
      </c>
      <c r="D5" s="1"/>
      <c r="E5" s="1"/>
      <c r="F5" s="1">
        <v>3.32</v>
      </c>
      <c r="G5" s="1">
        <v>3.57</v>
      </c>
      <c r="H5" s="1">
        <f t="shared" si="0"/>
        <v>2.8737300435413644</v>
      </c>
      <c r="I5" s="1"/>
      <c r="J5" s="1"/>
    </row>
    <row r="6" spans="1:10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1">
        <v>11.02</v>
      </c>
      <c r="B7" s="1">
        <v>10.82</v>
      </c>
      <c r="C7" s="1">
        <f t="shared" ref="C7:C10" si="2">9.9/((A7+B7)*0.5)</f>
        <v>0.90659340659340659</v>
      </c>
      <c r="D7" s="1">
        <f xml:space="preserve"> C7:C10</f>
        <v>0.90659340659340659</v>
      </c>
      <c r="E7" s="8">
        <f>STDEV(C7:C10)</f>
        <v>5.6482729806314441E-2</v>
      </c>
      <c r="F7" s="1">
        <v>2.58</v>
      </c>
      <c r="G7" s="1">
        <v>2.89</v>
      </c>
      <c r="H7" s="1">
        <f t="shared" ref="H7:H10" si="3">9.9/((F7+G7)*0.5)</f>
        <v>3.6197440585009137</v>
      </c>
      <c r="I7" s="1">
        <f xml:space="preserve"> AVERAGE(H7:H10)</f>
        <v>3.8954460057138856</v>
      </c>
      <c r="J7" s="8">
        <f xml:space="preserve"> STDEV(H7:H10)</f>
        <v>0.24177779417140255</v>
      </c>
    </row>
    <row r="8" spans="1:10" x14ac:dyDescent="0.25">
      <c r="A8" s="1">
        <v>11.92</v>
      </c>
      <c r="B8" s="1">
        <v>11.86</v>
      </c>
      <c r="C8" s="1">
        <f t="shared" si="2"/>
        <v>0.83263246425567705</v>
      </c>
      <c r="D8" s="1"/>
      <c r="E8" s="1"/>
      <c r="F8" s="1">
        <v>2.63</v>
      </c>
      <c r="G8" s="1">
        <v>2.56</v>
      </c>
      <c r="H8" s="1">
        <f t="shared" si="3"/>
        <v>3.8150289017341046</v>
      </c>
      <c r="I8" s="1"/>
      <c r="J8" s="1"/>
    </row>
    <row r="9" spans="1:10" x14ac:dyDescent="0.25">
      <c r="A9" s="1">
        <v>11.9</v>
      </c>
      <c r="B9" s="1">
        <v>12.01</v>
      </c>
      <c r="C9" s="1">
        <f t="shared" si="2"/>
        <v>0.82810539523212046</v>
      </c>
      <c r="D9" s="1"/>
      <c r="E9" s="1"/>
      <c r="F9" s="1">
        <v>2.46</v>
      </c>
      <c r="G9" s="1">
        <v>2.5499999999999998</v>
      </c>
      <c r="H9" s="1">
        <f t="shared" si="3"/>
        <v>3.952095808383234</v>
      </c>
      <c r="I9" s="1"/>
      <c r="J9" s="1"/>
    </row>
    <row r="10" spans="1:10" x14ac:dyDescent="0.25">
      <c r="A10" s="1">
        <v>10.45</v>
      </c>
      <c r="B10" s="1">
        <v>10.55</v>
      </c>
      <c r="C10" s="1">
        <f t="shared" si="2"/>
        <v>0.94285714285714284</v>
      </c>
      <c r="D10" s="1"/>
      <c r="E10" s="1"/>
      <c r="F10" s="1">
        <v>2.2799999999999998</v>
      </c>
      <c r="G10" s="1">
        <v>2.44</v>
      </c>
      <c r="H10" s="1">
        <f t="shared" si="3"/>
        <v>4.1949152542372889</v>
      </c>
      <c r="I10" s="1"/>
      <c r="J10" s="1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1">
        <v>10.45</v>
      </c>
      <c r="B12" s="1">
        <v>10.55</v>
      </c>
      <c r="C12" s="1">
        <f t="shared" ref="C12:C15" si="4">9.9/((A12+B12)*0.5)</f>
        <v>0.94285714285714284</v>
      </c>
      <c r="D12" s="1">
        <f xml:space="preserve"> AVERAGE(C12:C15)</f>
        <v>1.0517281861012089</v>
      </c>
      <c r="E12" s="8">
        <f xml:space="preserve"> STDEV(C12:C15)</f>
        <v>0.22642337847354632</v>
      </c>
      <c r="F12" s="1">
        <v>1.89</v>
      </c>
      <c r="G12" s="1">
        <v>2.11</v>
      </c>
      <c r="H12" s="1">
        <f t="shared" ref="H12:H15" si="5">9.9/((F12+G12)*0.5)</f>
        <v>4.95</v>
      </c>
      <c r="I12" s="1">
        <f xml:space="preserve"> AVERAGE(H12:H15)</f>
        <v>4.9885979949011867</v>
      </c>
      <c r="J12" s="8">
        <f xml:space="preserve"> STDEV(H12:H15)</f>
        <v>0.49994557414900287</v>
      </c>
    </row>
    <row r="13" spans="1:10" x14ac:dyDescent="0.25">
      <c r="A13" s="1">
        <v>10.96</v>
      </c>
      <c r="B13" s="1">
        <v>10.84</v>
      </c>
      <c r="C13" s="1">
        <f t="shared" si="4"/>
        <v>0.90825688073394495</v>
      </c>
      <c r="D13" s="1"/>
      <c r="E13" s="1"/>
      <c r="F13" s="1">
        <v>2.0299999999999998</v>
      </c>
      <c r="G13" s="1">
        <v>2.1</v>
      </c>
      <c r="H13" s="1">
        <f t="shared" si="5"/>
        <v>4.7941888619854724</v>
      </c>
      <c r="I13" s="1"/>
      <c r="J13" s="1"/>
    </row>
    <row r="14" spans="1:10" x14ac:dyDescent="0.25">
      <c r="A14" s="1">
        <v>10.29</v>
      </c>
      <c r="B14" s="1">
        <v>10.199999999999999</v>
      </c>
      <c r="C14" s="1">
        <f t="shared" si="4"/>
        <v>0.96632503660322122</v>
      </c>
      <c r="D14" s="1"/>
      <c r="E14" s="1"/>
      <c r="F14" s="1">
        <v>1.69</v>
      </c>
      <c r="G14" s="1">
        <v>1.79</v>
      </c>
      <c r="H14" s="1">
        <f t="shared" si="5"/>
        <v>5.6896551724137936</v>
      </c>
      <c r="I14" s="1"/>
      <c r="J14" s="1"/>
    </row>
    <row r="15" spans="1:10" x14ac:dyDescent="0.25">
      <c r="A15" s="1">
        <v>7.08</v>
      </c>
      <c r="B15" s="1">
        <v>7.17</v>
      </c>
      <c r="C15" s="1">
        <f t="shared" si="4"/>
        <v>1.3894736842105264</v>
      </c>
      <c r="D15" s="1"/>
      <c r="E15" s="1"/>
      <c r="F15" s="1">
        <v>2.27</v>
      </c>
      <c r="G15" s="1">
        <v>2.11</v>
      </c>
      <c r="H15" s="1">
        <f t="shared" si="5"/>
        <v>4.5205479452054798</v>
      </c>
      <c r="I15" s="1"/>
      <c r="J15" s="1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1">
        <v>5.08</v>
      </c>
      <c r="B17" s="1">
        <v>4.84</v>
      </c>
      <c r="C17" s="1">
        <f t="shared" ref="C17:C20" si="6">9.9/((A17+B17)*0.5)</f>
        <v>1.995967741935484</v>
      </c>
      <c r="D17" s="1">
        <f>AVERAGE(C17:C20)</f>
        <v>2.0625147699029522</v>
      </c>
      <c r="E17" s="8">
        <f xml:space="preserve"> STDEV(C17:C20)</f>
        <v>0.13770606338195965</v>
      </c>
      <c r="F17" s="1">
        <v>1.84</v>
      </c>
      <c r="G17" s="1">
        <v>2.08</v>
      </c>
      <c r="H17" s="1">
        <f t="shared" ref="H17:H20" si="7">9.9/((F17+G17)*0.5)</f>
        <v>5.0510204081632653</v>
      </c>
      <c r="I17" s="1">
        <f xml:space="preserve"> AVERAGE(H17:H20)</f>
        <v>4.9943995490320985</v>
      </c>
      <c r="J17" s="8">
        <f xml:space="preserve"> STDEV(H17:H20)</f>
        <v>6.8402478127086302E-2</v>
      </c>
    </row>
    <row r="18" spans="1:10" x14ac:dyDescent="0.25">
      <c r="A18" s="1">
        <v>4.3899999999999997</v>
      </c>
      <c r="B18" s="1">
        <v>4.62</v>
      </c>
      <c r="C18" s="1">
        <f t="shared" si="6"/>
        <v>2.1975582685904551</v>
      </c>
      <c r="D18" s="1"/>
      <c r="E18" s="1"/>
      <c r="F18" s="1">
        <v>1.92</v>
      </c>
      <c r="G18" s="1">
        <v>2.0699999999999998</v>
      </c>
      <c r="H18" s="1">
        <f t="shared" si="7"/>
        <v>4.9624060150375948</v>
      </c>
      <c r="J18" s="1"/>
    </row>
    <row r="19" spans="1:10" x14ac:dyDescent="0.25">
      <c r="A19" s="1">
        <v>4.62</v>
      </c>
      <c r="B19" s="1">
        <v>4.57</v>
      </c>
      <c r="C19" s="1">
        <f t="shared" si="6"/>
        <v>2.1545157780195865</v>
      </c>
      <c r="D19" s="1"/>
      <c r="E19" s="1"/>
      <c r="F19" s="1">
        <v>1.97</v>
      </c>
      <c r="G19" s="1">
        <v>1.95</v>
      </c>
      <c r="H19" s="1">
        <f t="shared" si="7"/>
        <v>5.0510204081632653</v>
      </c>
      <c r="J19" s="1"/>
    </row>
    <row r="20" spans="1:10" x14ac:dyDescent="0.25">
      <c r="A20" s="1">
        <v>5.18</v>
      </c>
      <c r="B20" s="1">
        <v>5.23</v>
      </c>
      <c r="C20" s="1">
        <f t="shared" si="6"/>
        <v>1.9020172910662825</v>
      </c>
      <c r="D20" s="1"/>
      <c r="E20" s="1"/>
      <c r="F20" s="1">
        <v>1.98</v>
      </c>
      <c r="G20" s="1">
        <v>2.0499999999999998</v>
      </c>
      <c r="H20" s="1">
        <f t="shared" si="7"/>
        <v>4.9131513647642686</v>
      </c>
      <c r="J20" s="1"/>
    </row>
  </sheetData>
  <mergeCells count="8">
    <mergeCell ref="A1:E1"/>
    <mergeCell ref="A6:E6"/>
    <mergeCell ref="A11:E11"/>
    <mergeCell ref="A16:E16"/>
    <mergeCell ref="F1:J1"/>
    <mergeCell ref="F6:J6"/>
    <mergeCell ref="F11:J11"/>
    <mergeCell ref="F16:J16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8D0D-F730-4ADA-AD0C-5A020AE2FB4B}">
  <dimension ref="A1:M16"/>
  <sheetViews>
    <sheetView workbookViewId="0">
      <selection activeCell="K11" sqref="K11"/>
    </sheetView>
  </sheetViews>
  <sheetFormatPr defaultRowHeight="15.75" x14ac:dyDescent="0.25"/>
  <cols>
    <col min="6" max="6" width="9.375" bestFit="1" customWidth="1"/>
    <col min="7" max="13" width="9.125" bestFit="1" customWidth="1"/>
  </cols>
  <sheetData>
    <row r="1" spans="1:13" x14ac:dyDescent="0.25">
      <c r="A1">
        <v>1.2066092338960595</v>
      </c>
    </row>
    <row r="2" spans="1:13" x14ac:dyDescent="0.25">
      <c r="A2">
        <v>0.82994088215644102</v>
      </c>
    </row>
    <row r="3" spans="1:13" x14ac:dyDescent="0.25">
      <c r="A3">
        <v>0.57227221933117811</v>
      </c>
    </row>
    <row r="4" spans="1:13" x14ac:dyDescent="0.25">
      <c r="A4">
        <v>0.33021196026879601</v>
      </c>
      <c r="E4" t="s">
        <v>15</v>
      </c>
      <c r="F4">
        <v>20</v>
      </c>
      <c r="G4">
        <v>27.5</v>
      </c>
      <c r="H4">
        <v>35</v>
      </c>
      <c r="I4">
        <v>40</v>
      </c>
      <c r="J4">
        <v>45</v>
      </c>
      <c r="K4">
        <v>50</v>
      </c>
      <c r="L4">
        <v>55</v>
      </c>
      <c r="M4">
        <v>60</v>
      </c>
    </row>
    <row r="5" spans="1:13" x14ac:dyDescent="0.25">
      <c r="A5">
        <v>0.24404691339581649</v>
      </c>
      <c r="E5" t="s">
        <v>16</v>
      </c>
      <c r="F5" s="5">
        <v>1206.6092338960595</v>
      </c>
      <c r="G5" s="5">
        <v>829.94088215644103</v>
      </c>
      <c r="H5" s="5">
        <v>572.27221933117812</v>
      </c>
      <c r="I5" s="5">
        <v>330.21196026879602</v>
      </c>
      <c r="J5" s="5">
        <v>244.04691339581649</v>
      </c>
      <c r="K5" s="5">
        <v>194.66259072595307</v>
      </c>
      <c r="L5" s="5">
        <v>144.13273292699805</v>
      </c>
      <c r="M5" s="5">
        <v>127.03849928098133</v>
      </c>
    </row>
    <row r="6" spans="1:13" x14ac:dyDescent="0.25">
      <c r="A6">
        <v>0.19466259072595307</v>
      </c>
      <c r="D6">
        <v>1206.6092338960595</v>
      </c>
      <c r="E6">
        <f>A1*1000</f>
        <v>1206.6092338960595</v>
      </c>
    </row>
    <row r="7" spans="1:13" x14ac:dyDescent="0.25">
      <c r="A7">
        <v>0.14413273292699805</v>
      </c>
      <c r="D7">
        <v>829.94088215644103</v>
      </c>
      <c r="E7">
        <f t="shared" ref="E7:E16" si="0">A2*1000</f>
        <v>829.94088215644103</v>
      </c>
    </row>
    <row r="8" spans="1:13" x14ac:dyDescent="0.25">
      <c r="A8">
        <v>0.12703849928098132</v>
      </c>
      <c r="D8">
        <v>572.27221933117812</v>
      </c>
      <c r="E8">
        <f t="shared" si="0"/>
        <v>572.27221933117812</v>
      </c>
    </row>
    <row r="9" spans="1:13" x14ac:dyDescent="0.25">
      <c r="D9">
        <v>330.21196026879602</v>
      </c>
      <c r="E9">
        <f t="shared" si="0"/>
        <v>330.21196026879602</v>
      </c>
      <c r="G9">
        <v>20</v>
      </c>
    </row>
    <row r="10" spans="1:13" x14ac:dyDescent="0.25">
      <c r="D10">
        <v>244.04691339581649</v>
      </c>
      <c r="E10">
        <f t="shared" si="0"/>
        <v>244.04691339581649</v>
      </c>
      <c r="G10">
        <v>27.5</v>
      </c>
    </row>
    <row r="11" spans="1:13" x14ac:dyDescent="0.25">
      <c r="D11">
        <v>194.66259072595307</v>
      </c>
      <c r="E11">
        <f t="shared" si="0"/>
        <v>194.66259072595307</v>
      </c>
      <c r="G11">
        <v>35</v>
      </c>
    </row>
    <row r="12" spans="1:13" x14ac:dyDescent="0.25">
      <c r="D12">
        <v>144.13273292699805</v>
      </c>
      <c r="E12">
        <f t="shared" si="0"/>
        <v>144.13273292699805</v>
      </c>
      <c r="G12">
        <v>40</v>
      </c>
    </row>
    <row r="13" spans="1:13" x14ac:dyDescent="0.25">
      <c r="D13">
        <v>127.03849928098133</v>
      </c>
      <c r="E13">
        <f t="shared" si="0"/>
        <v>127.03849928098133</v>
      </c>
      <c r="G13">
        <v>45</v>
      </c>
    </row>
    <row r="14" spans="1:13" x14ac:dyDescent="0.25">
      <c r="G14">
        <v>50</v>
      </c>
    </row>
    <row r="15" spans="1:13" x14ac:dyDescent="0.25">
      <c r="G15">
        <v>55</v>
      </c>
    </row>
    <row r="16" spans="1:13" x14ac:dyDescent="0.25">
      <c r="G16">
        <v>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Первая лаба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 Денисов</dc:creator>
  <cp:lastModifiedBy>Антоний</cp:lastModifiedBy>
  <cp:lastPrinted>2020-02-20T00:24:27Z</cp:lastPrinted>
  <dcterms:created xsi:type="dcterms:W3CDTF">2020-02-16T14:58:04Z</dcterms:created>
  <dcterms:modified xsi:type="dcterms:W3CDTF">2020-02-20T01:57:00Z</dcterms:modified>
</cp:coreProperties>
</file>