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rplukci/Desktop/Лабы/2.3.1/"/>
    </mc:Choice>
  </mc:AlternateContent>
  <xr:revisionPtr revIDLastSave="0" documentId="13_ncr:1_{F0C7A0E8-7A7A-9F4D-84EA-700414AF3B0B}" xr6:coauthVersionLast="36" xr6:coauthVersionMax="36" xr10:uidLastSave="{00000000-0000-0000-0000-000000000000}"/>
  <bookViews>
    <workbookView xWindow="0" yWindow="0" windowWidth="28800" windowHeight="18000" xr2:uid="{EBAB63B5-2241-2E49-A8AD-80E5ABB1D04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26" i="1" l="1"/>
  <c r="AA26" i="1" s="1"/>
  <c r="Z13" i="1"/>
  <c r="Y13" i="1"/>
  <c r="Z9" i="1"/>
  <c r="Y9" i="1"/>
  <c r="D7" i="1"/>
  <c r="M28" i="1"/>
  <c r="T28" i="1" s="1"/>
  <c r="G4" i="1"/>
  <c r="G3" i="1"/>
  <c r="V13" i="1" l="1"/>
  <c r="V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3" i="1"/>
  <c r="L28" i="1"/>
  <c r="S28" i="1" s="1"/>
  <c r="L27" i="1"/>
  <c r="M27" i="1" s="1"/>
  <c r="T27" i="1" s="1"/>
  <c r="L26" i="1"/>
  <c r="L25" i="1"/>
  <c r="M25" i="1" s="1"/>
  <c r="S25" i="1" s="1"/>
  <c r="L24" i="1"/>
  <c r="M24" i="1" s="1"/>
  <c r="S24" i="1" s="1"/>
  <c r="L23" i="1"/>
  <c r="M23" i="1" s="1"/>
  <c r="T23" i="1" s="1"/>
  <c r="L22" i="1"/>
  <c r="M22" i="1" s="1"/>
  <c r="T22" i="1" s="1"/>
  <c r="L21" i="1"/>
  <c r="M21" i="1" s="1"/>
  <c r="S21" i="1" s="1"/>
  <c r="L20" i="1"/>
  <c r="M20" i="1" s="1"/>
  <c r="S20" i="1" s="1"/>
  <c r="L19" i="1"/>
  <c r="M19" i="1" s="1"/>
  <c r="T19" i="1" s="1"/>
  <c r="L18" i="1"/>
  <c r="M18" i="1" s="1"/>
  <c r="T18" i="1" s="1"/>
  <c r="L17" i="1"/>
  <c r="M17" i="1" s="1"/>
  <c r="S17" i="1" s="1"/>
  <c r="L16" i="1"/>
  <c r="M16" i="1" s="1"/>
  <c r="S16" i="1" s="1"/>
  <c r="L15" i="1"/>
  <c r="M15" i="1" s="1"/>
  <c r="T15" i="1" s="1"/>
  <c r="L14" i="1"/>
  <c r="M14" i="1" s="1"/>
  <c r="T14" i="1" s="1"/>
  <c r="L13" i="1"/>
  <c r="M13" i="1" s="1"/>
  <c r="S13" i="1" s="1"/>
  <c r="L12" i="1"/>
  <c r="M12" i="1" s="1"/>
  <c r="S12" i="1" s="1"/>
  <c r="L11" i="1"/>
  <c r="M11" i="1" s="1"/>
  <c r="T11" i="1" s="1"/>
  <c r="L10" i="1"/>
  <c r="M10" i="1" s="1"/>
  <c r="T10" i="1" s="1"/>
  <c r="L9" i="1"/>
  <c r="M9" i="1" s="1"/>
  <c r="S9" i="1" s="1"/>
  <c r="L8" i="1"/>
  <c r="M8" i="1" s="1"/>
  <c r="S8" i="1" s="1"/>
  <c r="L7" i="1"/>
  <c r="M7" i="1" s="1"/>
  <c r="T7" i="1" s="1"/>
  <c r="L6" i="1"/>
  <c r="M6" i="1" s="1"/>
  <c r="T6" i="1" s="1"/>
  <c r="L5" i="1"/>
  <c r="M5" i="1" s="1"/>
  <c r="S5" i="1" s="1"/>
  <c r="L4" i="1"/>
  <c r="M4" i="1" s="1"/>
  <c r="I23" i="1"/>
  <c r="L3" i="1"/>
  <c r="M3" i="1" s="1"/>
  <c r="I26" i="1"/>
  <c r="I25" i="1"/>
  <c r="I24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M26" i="1"/>
  <c r="T26" i="1" s="1"/>
  <c r="B7" i="1"/>
  <c r="D4" i="1" s="1"/>
  <c r="B3" i="1"/>
  <c r="C4" i="1"/>
  <c r="C3" i="1"/>
  <c r="B4" i="1"/>
  <c r="T3" i="1" l="1"/>
  <c r="S3" i="1"/>
  <c r="W3" i="1"/>
  <c r="X13" i="1"/>
  <c r="X3" i="1"/>
  <c r="E4" i="1"/>
  <c r="F4" i="1" s="1"/>
  <c r="E3" i="1"/>
  <c r="F3" i="1" s="1"/>
  <c r="D3" i="1"/>
  <c r="S27" i="1"/>
  <c r="S23" i="1"/>
  <c r="S19" i="1"/>
  <c r="S15" i="1"/>
  <c r="S11" i="1"/>
  <c r="S7" i="1"/>
  <c r="T25" i="1"/>
  <c r="T21" i="1"/>
  <c r="T17" i="1"/>
  <c r="T13" i="1"/>
  <c r="T9" i="1"/>
  <c r="T5" i="1"/>
  <c r="W13" i="1"/>
  <c r="S26" i="1"/>
  <c r="S22" i="1"/>
  <c r="S18" i="1"/>
  <c r="S14" i="1"/>
  <c r="S10" i="1"/>
  <c r="S6" i="1"/>
  <c r="T24" i="1"/>
  <c r="T20" i="1"/>
  <c r="T16" i="1"/>
  <c r="T12" i="1"/>
  <c r="T8" i="1"/>
  <c r="T4" i="1"/>
  <c r="S4" i="1"/>
  <c r="Y3" i="1" l="1"/>
  <c r="Z3" i="1"/>
  <c r="V6" i="1" s="1"/>
  <c r="V9" i="1" s="1"/>
  <c r="V16" i="1"/>
  <c r="V19" i="1" s="1"/>
  <c r="Y19" i="1" s="1"/>
  <c r="W16" i="1" l="1"/>
  <c r="W19" i="1" s="1"/>
  <c r="Z19" i="1" s="1"/>
  <c r="W6" i="1"/>
  <c r="W9" i="1" s="1"/>
</calcChain>
</file>

<file path=xl/sharedStrings.xml><?xml version="1.0" encoding="utf-8"?>
<sst xmlns="http://schemas.openxmlformats.org/spreadsheetml/2006/main" count="41" uniqueCount="26">
  <si>
    <t>Δhф, мм</t>
  </si>
  <si>
    <t>Δhв, мм</t>
  </si>
  <si>
    <t>Vф, м^3</t>
  </si>
  <si>
    <t>Vв, м^3</t>
  </si>
  <si>
    <t>V0, м^3</t>
  </si>
  <si>
    <t>Vф+Vв, м^3</t>
  </si>
  <si>
    <t>Pпр, мм.рт.ст.</t>
  </si>
  <si>
    <t>P0, мм.рт.ст.</t>
  </si>
  <si>
    <t>P, мм.рт.ст</t>
  </si>
  <si>
    <t>t, с</t>
  </si>
  <si>
    <t>LN((P-Pпр)/P0)</t>
  </si>
  <si>
    <t>t^2</t>
  </si>
  <si>
    <t>ln^2</t>
  </si>
  <si>
    <t>t*Ln</t>
  </si>
  <si>
    <t>tcp</t>
  </si>
  <si>
    <t>t^2cp</t>
  </si>
  <si>
    <t>Lncp</t>
  </si>
  <si>
    <t>Ln^2cp</t>
  </si>
  <si>
    <t>t*Lncp</t>
  </si>
  <si>
    <t>σVв</t>
  </si>
  <si>
    <t>W, м3/с</t>
  </si>
  <si>
    <t>σ, м3/с</t>
  </si>
  <si>
    <t>W/V, с-1</t>
  </si>
  <si>
    <t>σ, с-1</t>
  </si>
  <si>
    <t>W, л/с</t>
  </si>
  <si>
    <t>σ, л/с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</si>
</sst>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2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Лист1!$H$3:$H$26</c:f>
              <c:numCache>
                <c:formatCode>General</c:formatCode>
                <c:ptCount val="24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9</c:v>
                </c:pt>
                <c:pt idx="7">
                  <c:v>13</c:v>
                </c:pt>
                <c:pt idx="8">
                  <c:v>14</c:v>
                </c:pt>
                <c:pt idx="9">
                  <c:v>16</c:v>
                </c:pt>
                <c:pt idx="10">
                  <c:v>18</c:v>
                </c:pt>
                <c:pt idx="11">
                  <c:v>19</c:v>
                </c:pt>
                <c:pt idx="12">
                  <c:v>22</c:v>
                </c:pt>
                <c:pt idx="13">
                  <c:v>24</c:v>
                </c:pt>
                <c:pt idx="14">
                  <c:v>27</c:v>
                </c:pt>
                <c:pt idx="15">
                  <c:v>28</c:v>
                </c:pt>
                <c:pt idx="16">
                  <c:v>31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</c:numCache>
            </c:numRef>
          </c:xVal>
          <c:yVal>
            <c:numRef>
              <c:f>Лист1!$I$3:$I$26</c:f>
              <c:numCache>
                <c:formatCode>General</c:formatCode>
                <c:ptCount val="24"/>
                <c:pt idx="0">
                  <c:v>6.5000000000000008E-5</c:v>
                </c:pt>
                <c:pt idx="1">
                  <c:v>7.7000000000000001E-5</c:v>
                </c:pt>
                <c:pt idx="2">
                  <c:v>8.7000000000000001E-5</c:v>
                </c:pt>
                <c:pt idx="3">
                  <c:v>1E-4</c:v>
                </c:pt>
                <c:pt idx="4">
                  <c:v>1.2E-4</c:v>
                </c:pt>
                <c:pt idx="5">
                  <c:v>1.3999999999999999E-4</c:v>
                </c:pt>
                <c:pt idx="6">
                  <c:v>1.6000000000000001E-4</c:v>
                </c:pt>
                <c:pt idx="7">
                  <c:v>1.9000000000000001E-4</c:v>
                </c:pt>
                <c:pt idx="8">
                  <c:v>2.1000000000000001E-4</c:v>
                </c:pt>
                <c:pt idx="9">
                  <c:v>2.2999999999999998E-4</c:v>
                </c:pt>
                <c:pt idx="10">
                  <c:v>2.5000000000000001E-4</c:v>
                </c:pt>
                <c:pt idx="11">
                  <c:v>2.7000000000000006E-4</c:v>
                </c:pt>
                <c:pt idx="12">
                  <c:v>3.0000000000000003E-4</c:v>
                </c:pt>
                <c:pt idx="13">
                  <c:v>3.2000000000000003E-4</c:v>
                </c:pt>
                <c:pt idx="14">
                  <c:v>3.5E-4</c:v>
                </c:pt>
                <c:pt idx="15">
                  <c:v>3.7000000000000005E-4</c:v>
                </c:pt>
                <c:pt idx="16">
                  <c:v>4.0000000000000002E-4</c:v>
                </c:pt>
                <c:pt idx="17">
                  <c:v>4.2999999999999999E-4</c:v>
                </c:pt>
                <c:pt idx="18">
                  <c:v>4.5999999999999996E-4</c:v>
                </c:pt>
                <c:pt idx="19">
                  <c:v>5.1000000000000004E-4</c:v>
                </c:pt>
                <c:pt idx="20">
                  <c:v>6.3000000000000003E-4</c:v>
                </c:pt>
                <c:pt idx="21">
                  <c:v>6.7000000000000002E-4</c:v>
                </c:pt>
                <c:pt idx="22">
                  <c:v>6.9999999999999999E-4</c:v>
                </c:pt>
                <c:pt idx="23">
                  <c:v>7.2999999999999996E-4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05-8D4C-A83F-0CD3D8C2D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4583439"/>
        <c:axId val="2124170575"/>
      </c:scatterChart>
      <c:valAx>
        <c:axId val="2124583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4170575"/>
        <c:crosses val="autoZero"/>
        <c:crossBetween val="midCat"/>
      </c:valAx>
      <c:valAx>
        <c:axId val="2124170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4583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Лист1!$K$3:$K$28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7</c:v>
                </c:pt>
                <c:pt idx="6">
                  <c:v>8</c:v>
                </c:pt>
                <c:pt idx="7">
                  <c:v>11</c:v>
                </c:pt>
                <c:pt idx="8">
                  <c:v>13</c:v>
                </c:pt>
                <c:pt idx="9">
                  <c:v>17</c:v>
                </c:pt>
                <c:pt idx="10">
                  <c:v>23</c:v>
                </c:pt>
                <c:pt idx="11">
                  <c:v>25</c:v>
                </c:pt>
                <c:pt idx="12">
                  <c:v>28</c:v>
                </c:pt>
                <c:pt idx="13">
                  <c:v>30</c:v>
                </c:pt>
                <c:pt idx="14">
                  <c:v>36</c:v>
                </c:pt>
                <c:pt idx="15">
                  <c:v>38</c:v>
                </c:pt>
                <c:pt idx="16">
                  <c:v>40</c:v>
                </c:pt>
                <c:pt idx="17">
                  <c:v>45</c:v>
                </c:pt>
                <c:pt idx="18">
                  <c:v>53</c:v>
                </c:pt>
                <c:pt idx="19">
                  <c:v>63</c:v>
                </c:pt>
                <c:pt idx="20">
                  <c:v>74</c:v>
                </c:pt>
                <c:pt idx="21">
                  <c:v>91</c:v>
                </c:pt>
                <c:pt idx="22">
                  <c:v>111</c:v>
                </c:pt>
                <c:pt idx="23">
                  <c:v>138</c:v>
                </c:pt>
                <c:pt idx="24">
                  <c:v>169</c:v>
                </c:pt>
                <c:pt idx="25">
                  <c:v>204</c:v>
                </c:pt>
              </c:numCache>
            </c:numRef>
          </c:xVal>
          <c:yVal>
            <c:numRef>
              <c:f>Лист1!$M$3:$M$28</c:f>
              <c:numCache>
                <c:formatCode>General</c:formatCode>
                <c:ptCount val="26"/>
                <c:pt idx="0">
                  <c:v>13.892252744801777</c:v>
                </c:pt>
                <c:pt idx="1">
                  <c:v>14.034899197885956</c:v>
                </c:pt>
                <c:pt idx="2">
                  <c:v>14.451499324684271</c:v>
                </c:pt>
                <c:pt idx="3">
                  <c:v>14.785906511526713</c:v>
                </c:pt>
                <c:pt idx="4">
                  <c:v>14.984974000232651</c:v>
                </c:pt>
                <c:pt idx="5">
                  <c:v>15.353678212365745</c:v>
                </c:pt>
                <c:pt idx="6">
                  <c:v>15.737095183252146</c:v>
                </c:pt>
                <c:pt idx="7">
                  <c:v>16.06611859586037</c:v>
                </c:pt>
                <c:pt idx="8">
                  <c:v>16.366872749879501</c:v>
                </c:pt>
                <c:pt idx="9">
                  <c:v>16.799006105069829</c:v>
                </c:pt>
                <c:pt idx="10">
                  <c:v>17.008726636051897</c:v>
                </c:pt>
                <c:pt idx="11">
                  <c:v>17.077719507538848</c:v>
                </c:pt>
                <c:pt idx="12">
                  <c:v>17.151827479692571</c:v>
                </c:pt>
                <c:pt idx="13">
                  <c:v>17.231870187366106</c:v>
                </c:pt>
                <c:pt idx="14">
                  <c:v>17.318881564355738</c:v>
                </c:pt>
                <c:pt idx="15">
                  <c:v>17.365401579990628</c:v>
                </c:pt>
                <c:pt idx="16">
                  <c:v>17.41419174416006</c:v>
                </c:pt>
                <c:pt idx="17">
                  <c:v>17.519552259817889</c:v>
                </c:pt>
                <c:pt idx="18">
                  <c:v>17.637335295474269</c:v>
                </c:pt>
                <c:pt idx="19">
                  <c:v>17.770866688098796</c:v>
                </c:pt>
                <c:pt idx="20">
                  <c:v>17.925017367926053</c:v>
                </c:pt>
                <c:pt idx="21">
                  <c:v>18.107338924720008</c:v>
                </c:pt>
                <c:pt idx="22">
                  <c:v>18.330482476034216</c:v>
                </c:pt>
                <c:pt idx="23">
                  <c:v>18.618164548485996</c:v>
                </c:pt>
                <c:pt idx="24">
                  <c:v>19.02362965659416</c:v>
                </c:pt>
                <c:pt idx="25">
                  <c:v>19.716776837154104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91-0743-8E18-F9BCDABB34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7189807"/>
        <c:axId val="2127191487"/>
      </c:scatterChart>
      <c:valAx>
        <c:axId val="2127189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7191487"/>
        <c:crosses val="autoZero"/>
        <c:crossBetween val="midCat"/>
      </c:valAx>
      <c:valAx>
        <c:axId val="2127191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7189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63500</xdr:rowOff>
    </xdr:from>
    <xdr:to>
      <xdr:col>5</xdr:col>
      <xdr:colOff>342900</xdr:colOff>
      <xdr:row>25</xdr:row>
      <xdr:rowOff>177800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2DEB0A3-E1BE-704F-9382-E48AEF70F8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27</xdr:row>
      <xdr:rowOff>88900</xdr:rowOff>
    </xdr:from>
    <xdr:to>
      <xdr:col>5</xdr:col>
      <xdr:colOff>139700</xdr:colOff>
      <xdr:row>39</xdr:row>
      <xdr:rowOff>101600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4B5D5B8E-D5E2-8647-9078-82DBB6C7B5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0396D-85C3-B843-B5CD-15E1725A0854}">
  <dimension ref="A1:AA88"/>
  <sheetViews>
    <sheetView tabSelected="1" topLeftCell="L1" workbookViewId="0">
      <selection activeCell="AA19" sqref="AA19"/>
    </sheetView>
  </sheetViews>
  <sheetFormatPr baseColWidth="10" defaultRowHeight="16" x14ac:dyDescent="0.2"/>
  <cols>
    <col min="4" max="4" width="12.1640625" bestFit="1" customWidth="1"/>
    <col min="15" max="15" width="12.1640625" style="1" bestFit="1" customWidth="1"/>
    <col min="16" max="16" width="10.83203125" style="1"/>
    <col min="22" max="23" width="12.1640625" bestFit="1" customWidth="1"/>
    <col min="26" max="26" width="12.1640625" bestFit="1" customWidth="1"/>
  </cols>
  <sheetData>
    <row r="1" spans="1:27" ht="17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7" thickBot="1" x14ac:dyDescent="0.25">
      <c r="A2" s="4"/>
      <c r="B2" s="4" t="s">
        <v>0</v>
      </c>
      <c r="C2" s="4" t="s">
        <v>1</v>
      </c>
      <c r="D2" s="4" t="s">
        <v>2</v>
      </c>
      <c r="E2" s="4" t="s">
        <v>5</v>
      </c>
      <c r="F2" s="4" t="s">
        <v>3</v>
      </c>
      <c r="G2" s="4" t="s">
        <v>19</v>
      </c>
      <c r="H2" s="4" t="s">
        <v>9</v>
      </c>
      <c r="I2" s="4" t="s">
        <v>8</v>
      </c>
      <c r="J2" s="1"/>
      <c r="K2" s="4" t="s">
        <v>9</v>
      </c>
      <c r="L2" s="4" t="s">
        <v>8</v>
      </c>
      <c r="M2" s="4" t="s">
        <v>10</v>
      </c>
      <c r="N2" s="1"/>
      <c r="Q2" s="1"/>
      <c r="R2" s="4" t="s">
        <v>11</v>
      </c>
      <c r="S2" s="4" t="s">
        <v>12</v>
      </c>
      <c r="T2" s="4" t="s">
        <v>13</v>
      </c>
      <c r="U2" s="1"/>
      <c r="V2" s="4" t="s">
        <v>14</v>
      </c>
      <c r="W2" s="4" t="s">
        <v>16</v>
      </c>
      <c r="X2" s="4" t="s">
        <v>15</v>
      </c>
      <c r="Y2" s="4" t="s">
        <v>17</v>
      </c>
      <c r="Z2" s="4" t="s">
        <v>18</v>
      </c>
      <c r="AA2" s="1"/>
    </row>
    <row r="3" spans="1:27" ht="17" thickBot="1" x14ac:dyDescent="0.25">
      <c r="A3" s="4">
        <v>1</v>
      </c>
      <c r="B3" s="6">
        <f>350-178</f>
        <v>172</v>
      </c>
      <c r="C3" s="6">
        <f>324-201</f>
        <v>123</v>
      </c>
      <c r="D3" s="7">
        <f>101300*$B$7/(885*B3*0.001)</f>
        <v>4.1925502562081197E-2</v>
      </c>
      <c r="E3" s="7">
        <f>101300*$B$7/(885*C3*0.001)</f>
        <v>5.862753203803224E-2</v>
      </c>
      <c r="F3" s="7">
        <f>E3-D3</f>
        <v>1.6702029475951043E-2</v>
      </c>
      <c r="G3" s="7">
        <f>F3*SQRT((1/C3)^2+(3/63)^2)</f>
        <v>8.0684320510752256E-4</v>
      </c>
      <c r="H3" s="4">
        <v>0</v>
      </c>
      <c r="I3" s="4">
        <f>6.5*10^-5</f>
        <v>6.5000000000000008E-5</v>
      </c>
      <c r="J3" s="1"/>
      <c r="K3" s="4">
        <v>0</v>
      </c>
      <c r="L3" s="4">
        <f>7.4*10^-4</f>
        <v>7.400000000000001E-4</v>
      </c>
      <c r="M3" s="4">
        <f>-LOG((L3-$D$7)/$C$7, EXP(1))</f>
        <v>13.892252744801777</v>
      </c>
      <c r="N3" s="1"/>
      <c r="Q3" s="1"/>
      <c r="R3" s="4">
        <f>K3^2</f>
        <v>0</v>
      </c>
      <c r="S3" s="4">
        <f>M3^2</f>
        <v>192.99468632545251</v>
      </c>
      <c r="T3" s="4">
        <f>K3*M3</f>
        <v>0</v>
      </c>
      <c r="U3" s="1"/>
      <c r="V3" s="4">
        <f>AVERAGE(K3:K11)</f>
        <v>5.7777777777777777</v>
      </c>
      <c r="W3" s="4">
        <f>AVERAGE(M3:M11)</f>
        <v>15.074810724498795</v>
      </c>
      <c r="X3" s="4">
        <f>AVERAGE(R3:R11)</f>
        <v>50.444444444444443</v>
      </c>
      <c r="Y3" s="4">
        <f>AVERAGE(S3:S11)</f>
        <v>227.93085350105446</v>
      </c>
      <c r="Z3" s="4">
        <f>AVERAGE(T3:T11)</f>
        <v>90.480783608298196</v>
      </c>
      <c r="AA3" s="1"/>
    </row>
    <row r="4" spans="1:27" ht="17" thickBot="1" x14ac:dyDescent="0.25">
      <c r="A4" s="4">
        <v>2</v>
      </c>
      <c r="B4" s="6">
        <f>351-179</f>
        <v>172</v>
      </c>
      <c r="C4" s="6">
        <f>325-201</f>
        <v>124</v>
      </c>
      <c r="D4" s="7">
        <f>101300*$B$7/(885*B4*0.001)</f>
        <v>4.1925502562081197E-2</v>
      </c>
      <c r="E4" s="7">
        <f>101300*$B$7/(885*C4*0.001)</f>
        <v>5.8154729360306176E-2</v>
      </c>
      <c r="F4" s="7">
        <f>E4-D4</f>
        <v>1.6229226798224979E-2</v>
      </c>
      <c r="G4" s="7">
        <f>F4*SQRT((1/C4)^2+(3/63)^2)</f>
        <v>7.8382463128608159E-4</v>
      </c>
      <c r="H4" s="4">
        <v>2</v>
      </c>
      <c r="I4" s="4">
        <f>7.7*10^-5</f>
        <v>7.7000000000000001E-5</v>
      </c>
      <c r="J4" s="1"/>
      <c r="K4" s="4">
        <v>1</v>
      </c>
      <c r="L4" s="4">
        <f>6.5*10^-4</f>
        <v>6.5000000000000008E-4</v>
      </c>
      <c r="M4" s="4">
        <f t="shared" ref="M4:M28" si="0">-LOG((L4-$D$7)/$C$7, EXP(1))</f>
        <v>14.034899197885956</v>
      </c>
      <c r="N4" s="1"/>
      <c r="Q4" s="1"/>
      <c r="R4" s="4">
        <f t="shared" ref="R4:R28" si="1">K4^2</f>
        <v>1</v>
      </c>
      <c r="S4" s="4">
        <f t="shared" ref="S4:S28" si="2">M4^2</f>
        <v>196.97839549481984</v>
      </c>
      <c r="T4" s="4">
        <f t="shared" ref="T4:T28" si="3">K4*M4</f>
        <v>14.034899197885956</v>
      </c>
      <c r="U4" s="1"/>
      <c r="V4" s="1"/>
      <c r="W4" s="1"/>
      <c r="X4" s="1"/>
      <c r="Y4" s="1"/>
      <c r="Z4" s="1"/>
      <c r="AA4" s="1"/>
    </row>
    <row r="5" spans="1:27" ht="17" thickBot="1" x14ac:dyDescent="0.25">
      <c r="A5" s="1"/>
      <c r="B5" s="1"/>
      <c r="C5" s="1"/>
      <c r="D5" s="1"/>
      <c r="E5" s="1"/>
      <c r="F5" s="1"/>
      <c r="G5" s="1"/>
      <c r="H5" s="4">
        <v>4</v>
      </c>
      <c r="I5" s="4">
        <f>8.7*10^-5</f>
        <v>8.7000000000000001E-5</v>
      </c>
      <c r="J5" s="1"/>
      <c r="K5" s="4">
        <v>3</v>
      </c>
      <c r="L5" s="4">
        <f>4.5*10^-4</f>
        <v>4.5000000000000004E-4</v>
      </c>
      <c r="M5" s="4">
        <f t="shared" si="0"/>
        <v>14.451499324684271</v>
      </c>
      <c r="N5" s="1"/>
      <c r="Q5" s="1"/>
      <c r="R5" s="4">
        <f t="shared" si="1"/>
        <v>9</v>
      </c>
      <c r="S5" s="4">
        <f t="shared" si="2"/>
        <v>208.84583273134993</v>
      </c>
      <c r="T5" s="4">
        <f t="shared" si="3"/>
        <v>43.354497974052812</v>
      </c>
      <c r="U5" s="1"/>
      <c r="V5" s="4" t="s">
        <v>22</v>
      </c>
      <c r="W5" s="4" t="s">
        <v>23</v>
      </c>
      <c r="X5" s="1"/>
      <c r="Y5" s="1"/>
      <c r="Z5" s="1"/>
      <c r="AA5" s="1"/>
    </row>
    <row r="6" spans="1:27" ht="17" thickBot="1" x14ac:dyDescent="0.25">
      <c r="A6" s="1"/>
      <c r="B6" s="4" t="s">
        <v>4</v>
      </c>
      <c r="C6" s="4" t="s">
        <v>7</v>
      </c>
      <c r="D6" s="4" t="s">
        <v>6</v>
      </c>
      <c r="E6" s="1"/>
      <c r="F6" s="1"/>
      <c r="G6" s="1"/>
      <c r="H6" s="4">
        <v>5</v>
      </c>
      <c r="I6" s="4">
        <f>1*10^-4</f>
        <v>1E-4</v>
      </c>
      <c r="J6" s="1"/>
      <c r="K6" s="4">
        <v>4</v>
      </c>
      <c r="L6" s="4">
        <f>3.4*10^-4</f>
        <v>3.4000000000000002E-4</v>
      </c>
      <c r="M6" s="4">
        <f t="shared" si="0"/>
        <v>14.785906511526713</v>
      </c>
      <c r="N6" s="1"/>
      <c r="Q6" s="1"/>
      <c r="R6" s="4">
        <f t="shared" si="1"/>
        <v>16</v>
      </c>
      <c r="S6" s="4">
        <f t="shared" si="2"/>
        <v>218.62303136760806</v>
      </c>
      <c r="T6" s="4">
        <f t="shared" si="3"/>
        <v>59.143626046106853</v>
      </c>
      <c r="U6" s="1"/>
      <c r="V6" s="4">
        <f>(Z3-V3*W3)/(X3-V3^2)</f>
        <v>0.19821422084422441</v>
      </c>
      <c r="W6" s="4">
        <f>SQRT((Y3-W3^2)/(X3-V3^2)/9 - V6^2/9)</f>
        <v>8.3080482690131331E-3</v>
      </c>
      <c r="X6" s="1"/>
      <c r="Y6" s="1"/>
      <c r="Z6" s="1"/>
      <c r="AA6" s="1"/>
    </row>
    <row r="7" spans="1:27" ht="17" thickBot="1" x14ac:dyDescent="0.25">
      <c r="A7" s="1"/>
      <c r="B7" s="4">
        <f>63*10^-6</f>
        <v>6.3E-5</v>
      </c>
      <c r="C7" s="4">
        <v>731</v>
      </c>
      <c r="D7" s="4">
        <f>6.3*10^-5</f>
        <v>6.3E-5</v>
      </c>
      <c r="E7" s="1"/>
      <c r="F7" s="1"/>
      <c r="G7" s="1"/>
      <c r="H7" s="4">
        <v>6</v>
      </c>
      <c r="I7" s="4">
        <f>1.2*10^-4</f>
        <v>1.2E-4</v>
      </c>
      <c r="J7" s="1"/>
      <c r="K7" s="4">
        <v>5</v>
      </c>
      <c r="L7" s="4">
        <f>2.9*10^-4</f>
        <v>2.9E-4</v>
      </c>
      <c r="M7" s="4">
        <f t="shared" si="0"/>
        <v>14.984974000232651</v>
      </c>
      <c r="N7" s="1"/>
      <c r="Q7" s="1"/>
      <c r="R7" s="4">
        <f t="shared" si="1"/>
        <v>25</v>
      </c>
      <c r="S7" s="4">
        <f t="shared" si="2"/>
        <v>224.54944578764852</v>
      </c>
      <c r="T7" s="4">
        <f t="shared" si="3"/>
        <v>74.924870001163256</v>
      </c>
      <c r="U7" s="1"/>
      <c r="V7" s="1"/>
      <c r="W7" s="1"/>
      <c r="X7" s="1"/>
      <c r="Y7" s="1"/>
      <c r="Z7" s="1"/>
      <c r="AA7" s="1"/>
    </row>
    <row r="8" spans="1:27" ht="17" thickBot="1" x14ac:dyDescent="0.25">
      <c r="A8" s="1"/>
      <c r="B8" s="1"/>
      <c r="C8" s="1"/>
      <c r="D8" s="1"/>
      <c r="E8" s="1"/>
      <c r="F8" s="1"/>
      <c r="G8" s="1"/>
      <c r="H8" s="4">
        <v>8</v>
      </c>
      <c r="I8" s="4">
        <f>1.4*10^-4</f>
        <v>1.3999999999999999E-4</v>
      </c>
      <c r="J8" s="1"/>
      <c r="K8" s="4">
        <v>7</v>
      </c>
      <c r="L8" s="4">
        <f>2.2*10^-4</f>
        <v>2.2000000000000003E-4</v>
      </c>
      <c r="M8" s="4">
        <f t="shared" si="0"/>
        <v>15.353678212365745</v>
      </c>
      <c r="N8" s="1"/>
      <c r="Q8" s="1"/>
      <c r="R8" s="4">
        <f t="shared" si="1"/>
        <v>49</v>
      </c>
      <c r="S8" s="4">
        <f t="shared" si="2"/>
        <v>235.73543464887459</v>
      </c>
      <c r="T8" s="4">
        <f t="shared" si="3"/>
        <v>107.47574748656021</v>
      </c>
      <c r="U8" s="1"/>
      <c r="V8" s="4" t="s">
        <v>20</v>
      </c>
      <c r="W8" s="4" t="s">
        <v>21</v>
      </c>
      <c r="X8" s="1"/>
      <c r="Y8" s="4" t="s">
        <v>24</v>
      </c>
      <c r="Z8" s="4" t="s">
        <v>25</v>
      </c>
      <c r="AA8" s="1"/>
    </row>
    <row r="9" spans="1:27" ht="17" thickBot="1" x14ac:dyDescent="0.25">
      <c r="A9" s="1"/>
      <c r="B9" s="1"/>
      <c r="C9" s="1"/>
      <c r="D9" s="1"/>
      <c r="E9" s="1"/>
      <c r="F9" s="1"/>
      <c r="G9" s="1"/>
      <c r="H9" s="4">
        <v>9</v>
      </c>
      <c r="I9" s="4">
        <f>1.6*10^-4</f>
        <v>1.6000000000000001E-4</v>
      </c>
      <c r="J9" s="1"/>
      <c r="K9" s="4">
        <v>8</v>
      </c>
      <c r="L9" s="4">
        <f>1.7*10^-4</f>
        <v>1.7000000000000001E-4</v>
      </c>
      <c r="M9" s="4">
        <f t="shared" si="0"/>
        <v>15.737095183252146</v>
      </c>
      <c r="N9" s="1"/>
      <c r="Q9" s="1"/>
      <c r="R9" s="4">
        <f t="shared" si="1"/>
        <v>64</v>
      </c>
      <c r="S9" s="4">
        <f t="shared" si="2"/>
        <v>247.65616480673791</v>
      </c>
      <c r="T9" s="4">
        <f t="shared" si="3"/>
        <v>125.89676146601717</v>
      </c>
      <c r="U9" s="1"/>
      <c r="V9" s="4">
        <f>V6*F3</f>
        <v>3.3105797590929058E-3</v>
      </c>
      <c r="W9" s="9">
        <f>W6*F3</f>
        <v>1.3876126707668138E-4</v>
      </c>
      <c r="X9" s="1"/>
      <c r="Y9" s="4">
        <f>V9*1000</f>
        <v>3.310579759092906</v>
      </c>
      <c r="Z9" s="4">
        <f>W9*1000</f>
        <v>0.13876126707668138</v>
      </c>
      <c r="AA9" s="1"/>
    </row>
    <row r="10" spans="1:27" ht="17" thickBot="1" x14ac:dyDescent="0.25">
      <c r="A10" s="1"/>
      <c r="B10" s="1"/>
      <c r="C10" s="1"/>
      <c r="D10" s="1"/>
      <c r="E10" s="1"/>
      <c r="F10" s="1"/>
      <c r="G10" s="1"/>
      <c r="H10" s="4">
        <v>13</v>
      </c>
      <c r="I10" s="4">
        <f>1.9*10^-4</f>
        <v>1.9000000000000001E-4</v>
      </c>
      <c r="J10" s="1"/>
      <c r="K10" s="4">
        <v>11</v>
      </c>
      <c r="L10" s="4">
        <f>1.4*10^-4</f>
        <v>1.3999999999999999E-4</v>
      </c>
      <c r="M10" s="4">
        <f t="shared" si="0"/>
        <v>16.06611859586037</v>
      </c>
      <c r="N10" s="1"/>
      <c r="Q10" s="1"/>
      <c r="R10" s="4">
        <f t="shared" si="1"/>
        <v>121</v>
      </c>
      <c r="S10" s="4">
        <f t="shared" si="2"/>
        <v>258.12016673625038</v>
      </c>
      <c r="T10" s="4">
        <f t="shared" si="3"/>
        <v>176.72730455446407</v>
      </c>
      <c r="U10" s="1"/>
      <c r="V10" s="1"/>
      <c r="W10" s="1"/>
      <c r="X10" s="1"/>
      <c r="Y10" s="1"/>
      <c r="Z10" s="1"/>
      <c r="AA10" s="1"/>
    </row>
    <row r="11" spans="1:27" ht="17" thickBot="1" x14ac:dyDescent="0.25">
      <c r="A11" s="1"/>
      <c r="B11" s="1"/>
      <c r="C11" s="1"/>
      <c r="D11" s="1"/>
      <c r="E11" s="1"/>
      <c r="F11" s="1"/>
      <c r="G11" s="1"/>
      <c r="H11" s="4">
        <v>14</v>
      </c>
      <c r="I11" s="4">
        <f>2.1*10^-4</f>
        <v>2.1000000000000001E-4</v>
      </c>
      <c r="J11" s="1"/>
      <c r="K11" s="5">
        <v>13</v>
      </c>
      <c r="L11" s="5">
        <f>1.2*10^-4</f>
        <v>1.2E-4</v>
      </c>
      <c r="M11" s="5">
        <f t="shared" si="0"/>
        <v>16.366872749879501</v>
      </c>
      <c r="N11" s="1"/>
      <c r="Q11" s="1"/>
      <c r="R11" s="5">
        <f t="shared" si="1"/>
        <v>169</v>
      </c>
      <c r="S11" s="5">
        <f t="shared" si="2"/>
        <v>267.87452361074821</v>
      </c>
      <c r="T11" s="5">
        <f t="shared" si="3"/>
        <v>212.76934574843352</v>
      </c>
      <c r="U11" s="1"/>
      <c r="V11" s="1"/>
      <c r="W11" s="1"/>
      <c r="X11" s="1"/>
      <c r="Y11" s="1"/>
      <c r="Z11" s="1"/>
      <c r="AA11" s="1"/>
    </row>
    <row r="12" spans="1:27" ht="18" thickTop="1" thickBot="1" x14ac:dyDescent="0.25">
      <c r="A12" s="1"/>
      <c r="B12" s="1"/>
      <c r="C12" s="1"/>
      <c r="D12" s="1"/>
      <c r="E12" s="1"/>
      <c r="F12" s="1"/>
      <c r="G12" s="1"/>
      <c r="H12" s="4">
        <v>16</v>
      </c>
      <c r="I12" s="4">
        <f>2.3*10^-4</f>
        <v>2.2999999999999998E-4</v>
      </c>
      <c r="J12" s="1"/>
      <c r="K12" s="8">
        <v>17</v>
      </c>
      <c r="L12" s="8">
        <f>1*10^-4</f>
        <v>1E-4</v>
      </c>
      <c r="M12" s="8">
        <f>-LOG((L12-$D$7)/$C$7, EXP(1))</f>
        <v>16.799006105069829</v>
      </c>
      <c r="N12" s="1"/>
      <c r="Q12" s="1"/>
      <c r="R12" s="8">
        <f>K12^2</f>
        <v>289</v>
      </c>
      <c r="S12" s="8">
        <f>M12^2</f>
        <v>282.2066061181734</v>
      </c>
      <c r="T12" s="8">
        <f>K12*M12</f>
        <v>285.58310378618711</v>
      </c>
      <c r="U12" s="1"/>
      <c r="V12" s="4" t="s">
        <v>14</v>
      </c>
      <c r="W12" s="4" t="s">
        <v>16</v>
      </c>
      <c r="X12" s="4" t="s">
        <v>15</v>
      </c>
      <c r="Y12" s="4" t="s">
        <v>17</v>
      </c>
      <c r="Z12" s="4" t="s">
        <v>18</v>
      </c>
      <c r="AA12" s="1"/>
    </row>
    <row r="13" spans="1:27" ht="17" thickBot="1" x14ac:dyDescent="0.25">
      <c r="A13" s="1"/>
      <c r="B13" s="1"/>
      <c r="C13" s="1"/>
      <c r="D13" s="1"/>
      <c r="E13" s="1"/>
      <c r="F13" s="1"/>
      <c r="G13" s="1"/>
      <c r="H13" s="4">
        <v>18</v>
      </c>
      <c r="I13" s="4">
        <f>2.5*10^-4</f>
        <v>2.5000000000000001E-4</v>
      </c>
      <c r="J13" s="1"/>
      <c r="K13" s="4">
        <v>23</v>
      </c>
      <c r="L13" s="4">
        <f>9.3*10^-5</f>
        <v>9.3000000000000011E-5</v>
      </c>
      <c r="M13" s="4">
        <f t="shared" si="0"/>
        <v>17.008726636051897</v>
      </c>
      <c r="N13" s="1"/>
      <c r="Q13" s="1"/>
      <c r="R13" s="4">
        <f t="shared" si="1"/>
        <v>529</v>
      </c>
      <c r="S13" s="4">
        <f t="shared" si="2"/>
        <v>289.29678177994128</v>
      </c>
      <c r="T13" s="4">
        <f t="shared" si="3"/>
        <v>391.20071262919362</v>
      </c>
      <c r="U13" s="1"/>
      <c r="V13" s="4">
        <f>AVERAGE(K12:K28)</f>
        <v>69.705882352941174</v>
      </c>
      <c r="W13" s="4">
        <f>AVERAGE(M12:M28)</f>
        <v>17.765693462266537</v>
      </c>
      <c r="X13" s="4">
        <f>AVERAGE(R12:R28)</f>
        <v>7739.3529411764703</v>
      </c>
      <c r="Y13" s="4">
        <f>AVERAGE(S12:S28)</f>
        <v>316.19516038514257</v>
      </c>
      <c r="Z13" s="4">
        <f>AVERAGE(T12:T28)</f>
        <v>1278.7656026842358</v>
      </c>
      <c r="AA13" s="1"/>
    </row>
    <row r="14" spans="1:27" ht="17" thickBot="1" x14ac:dyDescent="0.25">
      <c r="A14" s="1"/>
      <c r="B14" s="1"/>
      <c r="C14" s="1"/>
      <c r="D14" s="1"/>
      <c r="E14" s="1"/>
      <c r="F14" s="1"/>
      <c r="G14" s="1"/>
      <c r="H14" s="4">
        <v>19</v>
      </c>
      <c r="I14" s="4">
        <f>2.7*10^-4</f>
        <v>2.7000000000000006E-4</v>
      </c>
      <c r="J14" s="1"/>
      <c r="K14" s="4">
        <v>25</v>
      </c>
      <c r="L14" s="4">
        <f>9.1*10^-5</f>
        <v>9.1000000000000003E-5</v>
      </c>
      <c r="M14" s="4">
        <f t="shared" si="0"/>
        <v>17.077719507538848</v>
      </c>
      <c r="N14" s="1"/>
      <c r="Q14" s="1"/>
      <c r="R14" s="4">
        <f t="shared" si="1"/>
        <v>625</v>
      </c>
      <c r="S14" s="4">
        <f t="shared" si="2"/>
        <v>291.64850357817295</v>
      </c>
      <c r="T14" s="4">
        <f t="shared" si="3"/>
        <v>426.94298768847119</v>
      </c>
      <c r="U14" s="1"/>
      <c r="V14" s="1"/>
      <c r="W14" s="1"/>
      <c r="X14" s="1"/>
      <c r="Y14" s="1"/>
      <c r="Z14" s="1"/>
      <c r="AA14" s="1"/>
    </row>
    <row r="15" spans="1:27" ht="17" thickBot="1" x14ac:dyDescent="0.25">
      <c r="A15" s="1"/>
      <c r="B15" s="1"/>
      <c r="C15" s="1"/>
      <c r="D15" s="1"/>
      <c r="E15" s="1"/>
      <c r="F15" s="1"/>
      <c r="G15" s="1"/>
      <c r="H15" s="4">
        <v>22</v>
      </c>
      <c r="I15" s="4">
        <f>3*10^-4</f>
        <v>3.0000000000000003E-4</v>
      </c>
      <c r="J15" s="1"/>
      <c r="K15" s="4">
        <v>28</v>
      </c>
      <c r="L15" s="4">
        <f>8.9*10^-5</f>
        <v>8.9000000000000008E-5</v>
      </c>
      <c r="M15" s="4">
        <f t="shared" si="0"/>
        <v>17.151827479692571</v>
      </c>
      <c r="N15" s="1"/>
      <c r="Q15" s="1"/>
      <c r="R15" s="4">
        <f t="shared" si="1"/>
        <v>784</v>
      </c>
      <c r="S15" s="4">
        <f t="shared" si="2"/>
        <v>294.1851858931372</v>
      </c>
      <c r="T15" s="4">
        <f t="shared" si="3"/>
        <v>480.25116943139199</v>
      </c>
      <c r="U15" s="1"/>
      <c r="V15" s="4" t="s">
        <v>22</v>
      </c>
      <c r="W15" s="4" t="s">
        <v>23</v>
      </c>
      <c r="X15" s="1"/>
      <c r="Y15" s="1"/>
      <c r="Z15" s="1"/>
      <c r="AA15" s="1"/>
    </row>
    <row r="16" spans="1:27" ht="17" thickBot="1" x14ac:dyDescent="0.25">
      <c r="A16" s="1"/>
      <c r="B16" s="1"/>
      <c r="C16" s="1"/>
      <c r="D16" s="1"/>
      <c r="E16" s="1"/>
      <c r="F16" s="1"/>
      <c r="G16" s="1"/>
      <c r="H16" s="4">
        <v>24</v>
      </c>
      <c r="I16" s="4">
        <f>3.2*10^-4</f>
        <v>3.2000000000000003E-4</v>
      </c>
      <c r="J16" s="1"/>
      <c r="K16" s="4">
        <v>30</v>
      </c>
      <c r="L16" s="4">
        <f>8.7*10^-5</f>
        <v>8.7000000000000001E-5</v>
      </c>
      <c r="M16" s="4">
        <f t="shared" si="0"/>
        <v>17.231870187366106</v>
      </c>
      <c r="N16" s="1"/>
      <c r="Q16" s="1"/>
      <c r="R16" s="4">
        <f t="shared" si="1"/>
        <v>900</v>
      </c>
      <c r="S16" s="4">
        <f t="shared" si="2"/>
        <v>296.93735015423675</v>
      </c>
      <c r="T16" s="4">
        <f t="shared" si="3"/>
        <v>516.95610562098318</v>
      </c>
      <c r="U16" s="1"/>
      <c r="V16" s="4">
        <f>(Z13-V13*W13)/(X13-V13^2)</f>
        <v>1.4022935220439934E-2</v>
      </c>
      <c r="W16" s="4">
        <f>SQRT((Y13-W13^2)/(X13-V13^2)/9 - V16^2/9)</f>
        <v>5.8520596650212366E-4</v>
      </c>
      <c r="X16" s="1"/>
      <c r="Y16" s="1"/>
      <c r="Z16" s="1"/>
      <c r="AA16" s="1"/>
    </row>
    <row r="17" spans="1:27" ht="17" thickBot="1" x14ac:dyDescent="0.25">
      <c r="A17" s="1"/>
      <c r="B17" s="1"/>
      <c r="C17" s="1"/>
      <c r="D17" s="1"/>
      <c r="E17" s="1"/>
      <c r="F17" s="1"/>
      <c r="G17" s="1"/>
      <c r="H17" s="4">
        <v>27</v>
      </c>
      <c r="I17" s="4">
        <f>3.5*10^-4</f>
        <v>3.5E-4</v>
      </c>
      <c r="J17" s="1"/>
      <c r="K17" s="4">
        <v>36</v>
      </c>
      <c r="L17" s="4">
        <f>8.5*10^-5</f>
        <v>8.5000000000000006E-5</v>
      </c>
      <c r="M17" s="4">
        <f t="shared" si="0"/>
        <v>17.318881564355738</v>
      </c>
      <c r="N17" s="1"/>
      <c r="Q17" s="1"/>
      <c r="R17" s="4">
        <f t="shared" si="1"/>
        <v>1296</v>
      </c>
      <c r="S17" s="4">
        <f t="shared" si="2"/>
        <v>299.94365864018107</v>
      </c>
      <c r="T17" s="4">
        <f t="shared" si="3"/>
        <v>623.47973631680657</v>
      </c>
      <c r="U17" s="1"/>
      <c r="V17" s="1"/>
      <c r="W17" s="1"/>
      <c r="X17" s="1"/>
      <c r="Y17" s="1"/>
      <c r="Z17" s="1"/>
      <c r="AA17" s="1"/>
    </row>
    <row r="18" spans="1:27" ht="17" thickBot="1" x14ac:dyDescent="0.25">
      <c r="A18" s="1"/>
      <c r="B18" s="1"/>
      <c r="C18" s="1"/>
      <c r="D18" s="1"/>
      <c r="E18" s="1"/>
      <c r="F18" s="1"/>
      <c r="G18" s="1"/>
      <c r="H18" s="4">
        <v>28</v>
      </c>
      <c r="I18" s="4">
        <f>3.7*10^-4</f>
        <v>3.7000000000000005E-4</v>
      </c>
      <c r="J18" s="1"/>
      <c r="K18" s="4">
        <v>38</v>
      </c>
      <c r="L18" s="4">
        <f>8.4*10^-5</f>
        <v>8.4000000000000009E-5</v>
      </c>
      <c r="M18" s="4">
        <f t="shared" si="0"/>
        <v>17.365401579990628</v>
      </c>
      <c r="N18" s="1"/>
      <c r="Q18" s="1"/>
      <c r="R18" s="4">
        <f t="shared" si="1"/>
        <v>1444</v>
      </c>
      <c r="S18" s="4">
        <f t="shared" si="2"/>
        <v>301.55717203434102</v>
      </c>
      <c r="T18" s="4">
        <f t="shared" si="3"/>
        <v>659.88526003964387</v>
      </c>
      <c r="U18" s="1"/>
      <c r="V18" s="4" t="s">
        <v>20</v>
      </c>
      <c r="W18" s="4" t="s">
        <v>21</v>
      </c>
      <c r="X18" s="1"/>
      <c r="Y18" s="4" t="s">
        <v>24</v>
      </c>
      <c r="Z18" s="4" t="s">
        <v>25</v>
      </c>
      <c r="AA18" s="1"/>
    </row>
    <row r="19" spans="1:27" ht="17" thickBot="1" x14ac:dyDescent="0.25">
      <c r="A19" s="1"/>
      <c r="B19" s="1"/>
      <c r="C19" s="1"/>
      <c r="D19" s="1"/>
      <c r="E19" s="1"/>
      <c r="F19" s="1"/>
      <c r="G19" s="1"/>
      <c r="H19" s="4">
        <v>31</v>
      </c>
      <c r="I19" s="4">
        <f>4*10^-4</f>
        <v>4.0000000000000002E-4</v>
      </c>
      <c r="J19" s="1"/>
      <c r="K19" s="4">
        <v>40</v>
      </c>
      <c r="L19" s="4">
        <f>8.3*10^-5</f>
        <v>8.3000000000000012E-5</v>
      </c>
      <c r="M19" s="4">
        <f t="shared" si="0"/>
        <v>17.41419174416006</v>
      </c>
      <c r="N19" s="1"/>
      <c r="Q19" s="1"/>
      <c r="R19" s="4">
        <f t="shared" si="1"/>
        <v>1600</v>
      </c>
      <c r="S19" s="4">
        <f t="shared" si="2"/>
        <v>303.25407410237239</v>
      </c>
      <c r="T19" s="4">
        <f t="shared" si="3"/>
        <v>696.56766976640245</v>
      </c>
      <c r="U19" s="1"/>
      <c r="V19" s="4">
        <f>V16*F3</f>
        <v>2.3421147739113981E-4</v>
      </c>
      <c r="W19" s="9">
        <f>W16*F3</f>
        <v>9.7741273020208873E-6</v>
      </c>
      <c r="X19" s="1"/>
      <c r="Y19" s="4">
        <f>V19*1000</f>
        <v>0.23421147739113982</v>
      </c>
      <c r="Z19" s="4">
        <f>W19*1000</f>
        <v>9.774127302020888E-3</v>
      </c>
      <c r="AA19" s="1"/>
    </row>
    <row r="20" spans="1:27" ht="17" thickBot="1" x14ac:dyDescent="0.25">
      <c r="A20" s="1"/>
      <c r="B20" s="1"/>
      <c r="C20" s="1"/>
      <c r="D20" s="1"/>
      <c r="E20" s="1"/>
      <c r="F20" s="1"/>
      <c r="G20" s="1"/>
      <c r="H20" s="4">
        <v>34</v>
      </c>
      <c r="I20" s="4">
        <f>4.3*10^-4</f>
        <v>4.2999999999999999E-4</v>
      </c>
      <c r="J20" s="1"/>
      <c r="K20" s="4">
        <v>45</v>
      </c>
      <c r="L20" s="4">
        <f>8.1*10^-5</f>
        <v>8.1000000000000004E-5</v>
      </c>
      <c r="M20" s="4">
        <f t="shared" si="0"/>
        <v>17.519552259817889</v>
      </c>
      <c r="N20" s="1"/>
      <c r="Q20" s="1"/>
      <c r="R20" s="4">
        <f t="shared" si="1"/>
        <v>2025</v>
      </c>
      <c r="S20" s="4">
        <f t="shared" si="2"/>
        <v>306.93471138449013</v>
      </c>
      <c r="T20" s="4">
        <f t="shared" si="3"/>
        <v>788.37985169180502</v>
      </c>
      <c r="U20" s="1"/>
      <c r="V20" s="1"/>
      <c r="W20" s="1"/>
      <c r="X20" s="1"/>
      <c r="Y20" s="1"/>
      <c r="Z20" s="1"/>
      <c r="AA20" s="1"/>
    </row>
    <row r="21" spans="1:27" ht="17" thickBot="1" x14ac:dyDescent="0.25">
      <c r="A21" s="1"/>
      <c r="B21" s="1"/>
      <c r="C21" s="1"/>
      <c r="D21" s="1"/>
      <c r="E21" s="1"/>
      <c r="F21" s="1"/>
      <c r="G21" s="1"/>
      <c r="H21" s="4">
        <v>36</v>
      </c>
      <c r="I21" s="4">
        <f>4.6*10^-4</f>
        <v>4.5999999999999996E-4</v>
      </c>
      <c r="J21" s="1"/>
      <c r="K21" s="4">
        <v>53</v>
      </c>
      <c r="L21" s="4">
        <f>7.9*10^-5</f>
        <v>7.9000000000000009E-5</v>
      </c>
      <c r="M21" s="4">
        <f t="shared" si="0"/>
        <v>17.637335295474269</v>
      </c>
      <c r="N21" s="1"/>
      <c r="Q21" s="1"/>
      <c r="R21" s="4">
        <f t="shared" si="1"/>
        <v>2809</v>
      </c>
      <c r="S21" s="4">
        <f t="shared" si="2"/>
        <v>311.07559632498243</v>
      </c>
      <c r="T21" s="4">
        <f t="shared" si="3"/>
        <v>934.77877066013627</v>
      </c>
      <c r="U21" s="1"/>
      <c r="V21" s="1"/>
      <c r="W21" s="1"/>
      <c r="X21" s="1"/>
      <c r="Y21" s="1"/>
      <c r="Z21" s="1"/>
      <c r="AA21" s="1"/>
    </row>
    <row r="22" spans="1:27" ht="17" thickBot="1" x14ac:dyDescent="0.25">
      <c r="A22" s="1"/>
      <c r="B22" s="1"/>
      <c r="C22" s="1"/>
      <c r="D22" s="1"/>
      <c r="E22" s="1"/>
      <c r="F22" s="1"/>
      <c r="G22" s="1"/>
      <c r="H22" s="4">
        <v>38</v>
      </c>
      <c r="I22" s="4">
        <f>5.1*10^-4</f>
        <v>5.1000000000000004E-4</v>
      </c>
      <c r="J22" s="1"/>
      <c r="K22" s="4">
        <v>63</v>
      </c>
      <c r="L22" s="4">
        <f>7.7*10^-5</f>
        <v>7.7000000000000001E-5</v>
      </c>
      <c r="M22" s="4">
        <f t="shared" si="0"/>
        <v>17.770866688098796</v>
      </c>
      <c r="N22" s="1"/>
      <c r="Q22" s="1"/>
      <c r="R22" s="4">
        <f t="shared" si="1"/>
        <v>3969</v>
      </c>
      <c r="S22" s="4">
        <f t="shared" si="2"/>
        <v>315.80370284617948</v>
      </c>
      <c r="T22" s="4">
        <f t="shared" si="3"/>
        <v>1119.5646013502242</v>
      </c>
      <c r="U22" s="1"/>
      <c r="V22" s="1"/>
      <c r="W22" s="1"/>
      <c r="X22" s="1"/>
      <c r="Y22" s="1"/>
      <c r="Z22" s="1"/>
      <c r="AA22" s="1"/>
    </row>
    <row r="23" spans="1:27" ht="17" thickBot="1" x14ac:dyDescent="0.25">
      <c r="A23" s="1"/>
      <c r="B23" s="1"/>
      <c r="C23" s="1"/>
      <c r="D23" s="1"/>
      <c r="E23" s="1"/>
      <c r="F23" s="1"/>
      <c r="G23" s="1"/>
      <c r="H23" s="4">
        <v>41</v>
      </c>
      <c r="I23" s="4">
        <f>6.3*10^-4</f>
        <v>6.3000000000000003E-4</v>
      </c>
      <c r="J23" s="1"/>
      <c r="K23" s="4">
        <v>74</v>
      </c>
      <c r="L23" s="4">
        <f>7.5*10^-5</f>
        <v>7.5000000000000007E-5</v>
      </c>
      <c r="M23" s="4">
        <f t="shared" si="0"/>
        <v>17.925017367926053</v>
      </c>
      <c r="N23" s="1"/>
      <c r="Q23" s="1"/>
      <c r="R23" s="4">
        <f t="shared" si="1"/>
        <v>5476</v>
      </c>
      <c r="S23" s="4">
        <f t="shared" si="2"/>
        <v>321.30624764045064</v>
      </c>
      <c r="T23" s="4">
        <f t="shared" si="3"/>
        <v>1326.4512852265279</v>
      </c>
      <c r="U23" s="1"/>
      <c r="V23" s="1"/>
      <c r="W23" s="1"/>
      <c r="X23" s="1"/>
      <c r="Y23" s="1"/>
      <c r="Z23" s="1"/>
      <c r="AA23" s="1"/>
    </row>
    <row r="24" spans="1:27" ht="17" thickBot="1" x14ac:dyDescent="0.25">
      <c r="A24" s="1"/>
      <c r="B24" s="1"/>
      <c r="C24" s="1"/>
      <c r="D24" s="1"/>
      <c r="E24" s="1"/>
      <c r="F24" s="1"/>
      <c r="G24" s="1"/>
      <c r="H24" s="4">
        <v>43</v>
      </c>
      <c r="I24" s="4">
        <f>6.7*10^-4</f>
        <v>6.7000000000000002E-4</v>
      </c>
      <c r="J24" s="1"/>
      <c r="K24" s="4">
        <v>91</v>
      </c>
      <c r="L24" s="4">
        <f>7.3*10^-5</f>
        <v>7.2999999999999999E-5</v>
      </c>
      <c r="M24" s="4">
        <f t="shared" si="0"/>
        <v>18.107338924720008</v>
      </c>
      <c r="N24" s="1"/>
      <c r="Q24" s="1"/>
      <c r="R24" s="4">
        <f t="shared" si="1"/>
        <v>8281</v>
      </c>
      <c r="S24" s="4">
        <f t="shared" si="2"/>
        <v>327.87572293468031</v>
      </c>
      <c r="T24" s="4">
        <f t="shared" si="3"/>
        <v>1647.7678421495207</v>
      </c>
      <c r="U24" s="1"/>
      <c r="V24" s="1"/>
      <c r="W24" s="1"/>
      <c r="X24" s="1"/>
      <c r="Y24" s="1"/>
      <c r="Z24" s="1"/>
      <c r="AA24" s="1"/>
    </row>
    <row r="25" spans="1:27" ht="17" thickBot="1" x14ac:dyDescent="0.25">
      <c r="A25" s="1"/>
      <c r="B25" s="1"/>
      <c r="C25" s="1"/>
      <c r="D25" s="1"/>
      <c r="E25" s="1"/>
      <c r="F25" s="1"/>
      <c r="G25" s="1"/>
      <c r="H25" s="4">
        <v>45</v>
      </c>
      <c r="I25" s="4">
        <f>7*10^-4</f>
        <v>6.9999999999999999E-4</v>
      </c>
      <c r="J25" s="1"/>
      <c r="K25" s="4">
        <v>111</v>
      </c>
      <c r="L25" s="4">
        <f>7.1*10^-5</f>
        <v>7.1000000000000005E-5</v>
      </c>
      <c r="M25" s="4">
        <f t="shared" si="0"/>
        <v>18.330482476034216</v>
      </c>
      <c r="N25" s="1"/>
      <c r="Q25" s="1"/>
      <c r="R25" s="4">
        <f t="shared" si="1"/>
        <v>12321</v>
      </c>
      <c r="S25" s="4">
        <f t="shared" si="2"/>
        <v>336.00658780419752</v>
      </c>
      <c r="T25" s="4">
        <f t="shared" si="3"/>
        <v>2034.683554839798</v>
      </c>
      <c r="U25" s="2"/>
      <c r="V25" s="2"/>
      <c r="W25" s="2"/>
      <c r="X25" s="1"/>
      <c r="Y25" s="1"/>
      <c r="Z25" s="4" t="s">
        <v>20</v>
      </c>
      <c r="AA25" s="4" t="s">
        <v>24</v>
      </c>
    </row>
    <row r="26" spans="1:27" ht="17" thickBot="1" x14ac:dyDescent="0.25">
      <c r="A26" s="1"/>
      <c r="B26" s="1"/>
      <c r="C26" s="1"/>
      <c r="D26" s="1"/>
      <c r="E26" s="1"/>
      <c r="F26" s="1"/>
      <c r="G26" s="1"/>
      <c r="H26" s="4">
        <v>47</v>
      </c>
      <c r="I26" s="4">
        <f>7.3*10^-4</f>
        <v>7.2999999999999996E-4</v>
      </c>
      <c r="J26" s="1"/>
      <c r="K26" s="4">
        <v>138</v>
      </c>
      <c r="L26" s="4">
        <f>6.9*10^-5</f>
        <v>6.900000000000001E-5</v>
      </c>
      <c r="M26" s="4">
        <f t="shared" si="0"/>
        <v>18.618164548485996</v>
      </c>
      <c r="N26" s="1"/>
      <c r="Q26" s="1"/>
      <c r="R26" s="4">
        <f t="shared" si="1"/>
        <v>19044</v>
      </c>
      <c r="S26" s="4">
        <f t="shared" si="2"/>
        <v>346.63605115450076</v>
      </c>
      <c r="T26" s="4">
        <f t="shared" si="3"/>
        <v>2569.3067076910675</v>
      </c>
      <c r="U26" s="2"/>
      <c r="V26" s="3"/>
      <c r="W26" s="2"/>
      <c r="X26" s="1"/>
      <c r="Y26" s="1"/>
      <c r="Z26" s="4">
        <f>4/3*(0.45*10^-3)^3*SQRT(2*PI()*8.31*293*10^3/29)*1.9*10^-2/0.07/(1.6*10^-4 - 6.3*10^-5)</f>
        <v>2.4693654185161713E-4</v>
      </c>
      <c r="AA26" s="4">
        <f>Z26*1000</f>
        <v>0.24693654185161712</v>
      </c>
    </row>
    <row r="27" spans="1:27" ht="17" thickBo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4">
        <v>169</v>
      </c>
      <c r="L27" s="4">
        <f>6.7*10^-5</f>
        <v>6.7000000000000002E-5</v>
      </c>
      <c r="M27" s="4">
        <f t="shared" si="0"/>
        <v>19.02362965659416</v>
      </c>
      <c r="N27" s="1"/>
      <c r="Q27" s="1"/>
      <c r="R27" s="4">
        <f t="shared" si="1"/>
        <v>28561</v>
      </c>
      <c r="S27" s="4">
        <f t="shared" si="2"/>
        <v>361.89848531124886</v>
      </c>
      <c r="T27" s="4">
        <f t="shared" si="3"/>
        <v>3214.9934119644131</v>
      </c>
      <c r="U27" s="2"/>
      <c r="V27" s="3"/>
      <c r="W27" s="2"/>
      <c r="X27" s="1"/>
      <c r="Y27" s="1"/>
      <c r="Z27" s="1"/>
      <c r="AA27" s="1"/>
    </row>
    <row r="28" spans="1:27" ht="17" thickBot="1" x14ac:dyDescent="0.25">
      <c r="G28" s="1"/>
      <c r="H28" s="1"/>
      <c r="I28" s="1"/>
      <c r="J28" s="1"/>
      <c r="K28" s="4">
        <v>204</v>
      </c>
      <c r="L28" s="4">
        <f>6.5*10^-5</f>
        <v>6.5000000000000008E-5</v>
      </c>
      <c r="M28" s="4">
        <f>-LOG((L28-$D$7)/$C$7, EXP(1))</f>
        <v>19.716776837154104</v>
      </c>
      <c r="N28" s="1"/>
      <c r="Q28" s="1"/>
      <c r="R28" s="4">
        <f t="shared" si="1"/>
        <v>41616</v>
      </c>
      <c r="S28" s="4">
        <f t="shared" si="2"/>
        <v>388.75128884613656</v>
      </c>
      <c r="T28" s="4">
        <f>K28*M28</f>
        <v>4022.2224747794371</v>
      </c>
      <c r="U28" s="2"/>
      <c r="V28" s="2"/>
      <c r="W28" s="2"/>
      <c r="X28" s="1"/>
      <c r="Y28" s="1"/>
      <c r="Z28" s="1"/>
      <c r="AA28" s="1"/>
    </row>
    <row r="29" spans="1:27" x14ac:dyDescent="0.2">
      <c r="G29" s="1"/>
      <c r="H29" s="1"/>
      <c r="I29" s="1"/>
      <c r="J29" s="1"/>
      <c r="K29" s="1"/>
      <c r="L29" s="1"/>
      <c r="M29" s="1"/>
      <c r="N29" s="1"/>
      <c r="Q29" s="1"/>
      <c r="R29" s="1"/>
      <c r="S29" s="1"/>
      <c r="T29" s="1"/>
      <c r="U29" s="2"/>
      <c r="V29" s="2"/>
      <c r="W29" s="2"/>
      <c r="X29" s="1"/>
      <c r="Y29" s="1"/>
      <c r="Z29" s="1"/>
      <c r="AA29" s="1"/>
    </row>
    <row r="30" spans="1:27" x14ac:dyDescent="0.2">
      <c r="G30" s="1"/>
      <c r="H30" s="1"/>
      <c r="I30" s="1"/>
      <c r="J30" s="1"/>
      <c r="K30" s="1"/>
      <c r="L30" s="1"/>
      <c r="M30" s="1"/>
      <c r="N30" s="1"/>
      <c r="Q30" s="1"/>
      <c r="R30" s="1"/>
      <c r="S30" s="1"/>
      <c r="T30" s="1"/>
      <c r="U30" s="2"/>
      <c r="V30" s="2"/>
      <c r="W30" s="2"/>
      <c r="X30" s="1"/>
      <c r="Y30" s="1"/>
      <c r="Z30" s="1"/>
      <c r="AA30" s="1"/>
    </row>
    <row r="31" spans="1:27" x14ac:dyDescent="0.2">
      <c r="G31" s="1"/>
      <c r="H31" s="1"/>
      <c r="I31" s="1"/>
      <c r="J31" s="1"/>
      <c r="K31" s="1"/>
      <c r="L31" s="1"/>
      <c r="M31" s="1"/>
      <c r="N31" s="1"/>
      <c r="Q31" s="2"/>
      <c r="R31" s="2"/>
      <c r="S31" s="2"/>
      <c r="T31" s="2"/>
      <c r="U31" s="2"/>
      <c r="V31" s="2"/>
      <c r="W31" s="2"/>
      <c r="X31" s="1"/>
      <c r="Y31" s="1"/>
      <c r="Z31" s="1"/>
      <c r="AA31" s="1"/>
    </row>
    <row r="32" spans="1:27" x14ac:dyDescent="0.2">
      <c r="G32" s="1"/>
      <c r="H32" s="1"/>
      <c r="I32" s="1"/>
      <c r="J32" s="1"/>
      <c r="K32" s="1"/>
      <c r="L32" s="1"/>
      <c r="M32" s="1"/>
      <c r="N32" s="1"/>
      <c r="Q32" s="2"/>
      <c r="R32" s="2"/>
      <c r="S32" s="2"/>
      <c r="T32" s="2"/>
      <c r="U32" s="2"/>
      <c r="V32" s="2"/>
      <c r="W32" s="2"/>
      <c r="X32" s="2"/>
    </row>
    <row r="33" spans="7:24" x14ac:dyDescent="0.2">
      <c r="G33" s="1"/>
      <c r="H33" s="1"/>
      <c r="I33" s="1"/>
      <c r="J33" s="1"/>
      <c r="K33" s="1"/>
      <c r="L33" s="1"/>
      <c r="M33" s="1"/>
      <c r="N33" s="1"/>
      <c r="Q33" s="2"/>
      <c r="R33" s="2"/>
      <c r="S33" s="2"/>
      <c r="T33" s="2"/>
      <c r="U33" s="2"/>
      <c r="V33" s="2"/>
      <c r="W33" s="2"/>
      <c r="X33" s="2"/>
    </row>
    <row r="34" spans="7:24" x14ac:dyDescent="0.2">
      <c r="G34" s="1"/>
      <c r="H34" s="1"/>
      <c r="I34" s="1"/>
      <c r="J34" s="1"/>
      <c r="K34" s="1"/>
      <c r="L34" s="1"/>
      <c r="M34" s="1"/>
      <c r="N34" s="1"/>
      <c r="Q34" s="2"/>
      <c r="R34" s="2"/>
      <c r="S34" s="2"/>
      <c r="T34" s="2"/>
      <c r="U34" s="2"/>
      <c r="V34" s="2"/>
      <c r="W34" s="2"/>
      <c r="X34" s="2"/>
    </row>
    <row r="35" spans="7:24" x14ac:dyDescent="0.2">
      <c r="G35" s="1"/>
      <c r="H35" s="1"/>
      <c r="I35" s="1"/>
      <c r="J35" s="1"/>
      <c r="K35" s="1"/>
      <c r="L35" s="1"/>
      <c r="M35" s="1"/>
      <c r="N35" s="1"/>
      <c r="Q35" s="2"/>
      <c r="R35" s="2"/>
      <c r="S35" s="2"/>
      <c r="T35" s="2"/>
      <c r="U35" s="2"/>
      <c r="V35" s="2"/>
      <c r="W35" s="2"/>
      <c r="X35" s="2"/>
    </row>
    <row r="36" spans="7:24" x14ac:dyDescent="0.2">
      <c r="G36" s="1"/>
      <c r="H36" s="1"/>
      <c r="I36" s="1"/>
      <c r="J36" s="1"/>
      <c r="K36" s="1"/>
      <c r="L36" s="1"/>
      <c r="M36" s="1"/>
      <c r="N36" s="1"/>
      <c r="Q36" s="2"/>
      <c r="R36" s="2"/>
      <c r="S36" s="2"/>
      <c r="T36" s="2"/>
      <c r="U36" s="2"/>
      <c r="V36" s="2"/>
      <c r="W36" s="2"/>
      <c r="X36" s="2"/>
    </row>
    <row r="37" spans="7:24" x14ac:dyDescent="0.2">
      <c r="G37" s="1"/>
      <c r="H37" s="1"/>
      <c r="I37" s="1"/>
      <c r="J37" s="1"/>
      <c r="K37" s="1"/>
      <c r="L37" s="1"/>
      <c r="M37" s="1"/>
      <c r="N37" s="1"/>
      <c r="Q37" s="2"/>
      <c r="R37" s="2"/>
      <c r="S37" s="2"/>
      <c r="T37" s="2"/>
      <c r="U37" s="2"/>
      <c r="V37" s="2"/>
      <c r="W37" s="2"/>
      <c r="X37" s="2"/>
    </row>
    <row r="38" spans="7:24" x14ac:dyDescent="0.2">
      <c r="G38" s="1"/>
      <c r="H38" s="1"/>
      <c r="I38" s="1"/>
      <c r="J38" s="1"/>
      <c r="K38" s="1"/>
      <c r="L38" s="1"/>
      <c r="M38" s="1"/>
      <c r="N38" s="1"/>
      <c r="Q38" s="2"/>
      <c r="R38" s="2"/>
      <c r="S38" s="2"/>
      <c r="T38" s="2"/>
      <c r="U38" s="2"/>
      <c r="V38" s="2"/>
      <c r="W38" s="2"/>
      <c r="X38" s="2"/>
    </row>
    <row r="39" spans="7:24" x14ac:dyDescent="0.2">
      <c r="G39" s="1"/>
      <c r="H39" s="1"/>
      <c r="I39" s="1"/>
      <c r="J39" s="1"/>
      <c r="K39" s="1"/>
      <c r="L39" s="1"/>
      <c r="M39" s="1"/>
      <c r="N39" s="1"/>
      <c r="Q39" s="2"/>
      <c r="R39" s="2"/>
      <c r="S39" s="2"/>
      <c r="T39" s="2"/>
      <c r="U39" s="2"/>
      <c r="V39" s="2"/>
      <c r="W39" s="2"/>
      <c r="X39" s="2"/>
    </row>
    <row r="40" spans="7:24" x14ac:dyDescent="0.2">
      <c r="N40" s="2"/>
      <c r="Q40" s="2"/>
      <c r="R40" s="2"/>
      <c r="S40" s="2"/>
      <c r="T40" s="2"/>
      <c r="U40" s="2"/>
      <c r="V40" s="2"/>
      <c r="W40" s="2"/>
      <c r="X40" s="2"/>
    </row>
    <row r="41" spans="7:24" x14ac:dyDescent="0.2">
      <c r="N41" s="2"/>
      <c r="Q41" s="2"/>
      <c r="R41" s="2"/>
      <c r="S41" s="2"/>
      <c r="T41" s="2"/>
      <c r="U41" s="2"/>
      <c r="V41" s="2"/>
      <c r="W41" s="2"/>
      <c r="X41" s="2"/>
    </row>
    <row r="42" spans="7:24" x14ac:dyDescent="0.2">
      <c r="N42" s="2"/>
      <c r="Q42" s="2"/>
      <c r="R42" s="2"/>
      <c r="S42" s="2"/>
      <c r="T42" s="2"/>
      <c r="U42" s="2"/>
      <c r="V42" s="2"/>
      <c r="W42" s="2"/>
      <c r="X42" s="2"/>
    </row>
    <row r="43" spans="7:24" x14ac:dyDescent="0.2">
      <c r="N43" s="2"/>
      <c r="Q43" s="2"/>
      <c r="R43" s="2"/>
      <c r="S43" s="2"/>
      <c r="T43" s="2"/>
      <c r="U43" s="2"/>
      <c r="V43" s="2"/>
      <c r="W43" s="2"/>
      <c r="X43" s="2"/>
    </row>
    <row r="44" spans="7:24" x14ac:dyDescent="0.2">
      <c r="N44" s="2"/>
      <c r="Q44" s="2"/>
      <c r="R44" s="2"/>
      <c r="S44" s="2"/>
      <c r="T44" s="2"/>
      <c r="U44" s="2"/>
      <c r="V44" s="2"/>
      <c r="W44" s="2"/>
      <c r="X44" s="2"/>
    </row>
    <row r="45" spans="7:24" x14ac:dyDescent="0.2">
      <c r="N45" s="2"/>
      <c r="Q45" s="2"/>
      <c r="R45" s="2"/>
      <c r="S45" s="2"/>
      <c r="T45" s="2"/>
      <c r="U45" s="2"/>
      <c r="V45" s="2"/>
      <c r="W45" s="2"/>
      <c r="X45" s="2"/>
    </row>
    <row r="46" spans="7:24" x14ac:dyDescent="0.2">
      <c r="N46" s="2"/>
      <c r="Q46" s="2"/>
      <c r="R46" s="2"/>
      <c r="S46" s="2"/>
      <c r="T46" s="2"/>
      <c r="U46" s="2"/>
      <c r="V46" s="2"/>
      <c r="W46" s="2"/>
      <c r="X46" s="2"/>
    </row>
    <row r="47" spans="7:24" x14ac:dyDescent="0.2">
      <c r="N47" s="2"/>
      <c r="Q47" s="2"/>
      <c r="R47" s="2"/>
      <c r="S47" s="2"/>
      <c r="T47" s="2"/>
      <c r="U47" s="2"/>
      <c r="V47" s="2"/>
      <c r="W47" s="2"/>
      <c r="X47" s="2"/>
    </row>
    <row r="48" spans="7:24" x14ac:dyDescent="0.2">
      <c r="N48" s="2"/>
      <c r="Q48" s="2"/>
      <c r="R48" s="2"/>
      <c r="S48" s="2"/>
      <c r="T48" s="2"/>
      <c r="U48" s="2"/>
      <c r="V48" s="2"/>
      <c r="W48" s="2"/>
      <c r="X48" s="2"/>
    </row>
    <row r="49" spans="14:24" x14ac:dyDescent="0.2">
      <c r="N49" s="2"/>
      <c r="Q49" s="2"/>
      <c r="R49" s="2"/>
      <c r="S49" s="2"/>
      <c r="T49" s="2"/>
      <c r="U49" s="2"/>
      <c r="V49" s="2"/>
      <c r="W49" s="2"/>
      <c r="X49" s="2"/>
    </row>
    <row r="50" spans="14:24" x14ac:dyDescent="0.2">
      <c r="N50" s="2"/>
      <c r="Q50" s="2"/>
      <c r="R50" s="2"/>
      <c r="S50" s="2"/>
      <c r="T50" s="2"/>
      <c r="U50" s="2"/>
      <c r="V50" s="2"/>
      <c r="W50" s="2"/>
      <c r="X50" s="2"/>
    </row>
    <row r="51" spans="14:24" x14ac:dyDescent="0.2">
      <c r="N51" s="2"/>
      <c r="Q51" s="2"/>
      <c r="R51" s="2"/>
      <c r="S51" s="2"/>
      <c r="T51" s="2"/>
      <c r="U51" s="2"/>
      <c r="V51" s="2"/>
      <c r="W51" s="2"/>
      <c r="X51" s="2"/>
    </row>
    <row r="52" spans="14:24" x14ac:dyDescent="0.2">
      <c r="N52" s="2"/>
      <c r="Q52" s="2"/>
      <c r="R52" s="2"/>
      <c r="S52" s="2"/>
      <c r="T52" s="2"/>
      <c r="U52" s="2"/>
      <c r="V52" s="2"/>
      <c r="W52" s="2"/>
      <c r="X52" s="2"/>
    </row>
    <row r="53" spans="14:24" x14ac:dyDescent="0.2">
      <c r="N53" s="2"/>
      <c r="Q53" s="2"/>
      <c r="R53" s="2"/>
      <c r="S53" s="2"/>
      <c r="T53" s="2"/>
      <c r="U53" s="2"/>
      <c r="V53" s="2"/>
      <c r="W53" s="2"/>
      <c r="X53" s="2"/>
    </row>
    <row r="54" spans="14:24" x14ac:dyDescent="0.2">
      <c r="N54" s="2"/>
      <c r="Q54" s="2"/>
      <c r="R54" s="2"/>
      <c r="S54" s="2"/>
      <c r="T54" s="2"/>
      <c r="U54" s="2"/>
      <c r="V54" s="2"/>
      <c r="W54" s="2"/>
      <c r="X54" s="2"/>
    </row>
    <row r="55" spans="14:24" x14ac:dyDescent="0.2">
      <c r="N55" s="2"/>
      <c r="Q55" s="2"/>
      <c r="R55" s="2"/>
      <c r="S55" s="2"/>
      <c r="T55" s="2"/>
      <c r="U55" s="2"/>
      <c r="V55" s="2"/>
      <c r="W55" s="2"/>
      <c r="X55" s="2"/>
    </row>
    <row r="56" spans="14:24" x14ac:dyDescent="0.2">
      <c r="N56" s="2"/>
      <c r="Q56" s="2"/>
      <c r="R56" s="2"/>
      <c r="S56" s="2"/>
      <c r="T56" s="2"/>
      <c r="U56" s="2"/>
      <c r="V56" s="2"/>
      <c r="W56" s="2"/>
      <c r="X56" s="2"/>
    </row>
    <row r="57" spans="14:24" x14ac:dyDescent="0.2">
      <c r="N57" s="2"/>
      <c r="Q57" s="2"/>
      <c r="R57" s="2"/>
      <c r="S57" s="2"/>
      <c r="T57" s="2"/>
      <c r="U57" s="2"/>
      <c r="V57" s="2"/>
      <c r="W57" s="2"/>
      <c r="X57" s="2"/>
    </row>
    <row r="58" spans="14:24" x14ac:dyDescent="0.2">
      <c r="N58" s="2"/>
      <c r="Q58" s="2"/>
      <c r="R58" s="2"/>
      <c r="S58" s="2"/>
      <c r="T58" s="2"/>
      <c r="U58" s="2"/>
      <c r="V58" s="2"/>
      <c r="W58" s="2"/>
      <c r="X58" s="2"/>
    </row>
    <row r="59" spans="14:24" x14ac:dyDescent="0.2">
      <c r="N59" s="2"/>
      <c r="Q59" s="2"/>
      <c r="R59" s="2"/>
      <c r="S59" s="2"/>
      <c r="T59" s="2"/>
      <c r="U59" s="2"/>
      <c r="V59" s="2"/>
      <c r="W59" s="2"/>
      <c r="X59" s="2"/>
    </row>
    <row r="60" spans="14:24" x14ac:dyDescent="0.2">
      <c r="N60" s="2"/>
      <c r="Q60" s="2"/>
      <c r="R60" s="2"/>
      <c r="S60" s="2"/>
      <c r="T60" s="2"/>
      <c r="U60" s="2"/>
      <c r="V60" s="2"/>
      <c r="W60" s="2"/>
      <c r="X60" s="2"/>
    </row>
    <row r="61" spans="14:24" x14ac:dyDescent="0.2">
      <c r="N61" s="2"/>
      <c r="Q61" s="2"/>
      <c r="R61" s="2"/>
      <c r="S61" s="2"/>
      <c r="T61" s="2"/>
      <c r="U61" s="2"/>
      <c r="V61" s="2"/>
      <c r="W61" s="2"/>
      <c r="X61" s="2"/>
    </row>
    <row r="62" spans="14:24" x14ac:dyDescent="0.2">
      <c r="N62" s="2"/>
      <c r="Q62" s="2"/>
      <c r="R62" s="2"/>
      <c r="S62" s="2"/>
      <c r="T62" s="2"/>
      <c r="U62" s="2"/>
      <c r="V62" s="2"/>
      <c r="W62" s="2"/>
      <c r="X62" s="2"/>
    </row>
    <row r="63" spans="14:24" x14ac:dyDescent="0.2">
      <c r="N63" s="2"/>
      <c r="Q63" s="2"/>
      <c r="R63" s="2"/>
      <c r="S63" s="2"/>
      <c r="T63" s="2"/>
      <c r="U63" s="2"/>
      <c r="V63" s="2"/>
      <c r="W63" s="2"/>
      <c r="X63" s="2"/>
    </row>
    <row r="64" spans="14:24" x14ac:dyDescent="0.2">
      <c r="N64" s="2"/>
      <c r="Q64" s="2"/>
      <c r="R64" s="2"/>
      <c r="S64" s="2"/>
      <c r="T64" s="2"/>
      <c r="U64" s="2"/>
      <c r="V64" s="2"/>
      <c r="W64" s="2"/>
      <c r="X64" s="2"/>
    </row>
    <row r="65" spans="14:24" x14ac:dyDescent="0.2">
      <c r="N65" s="2"/>
      <c r="Q65" s="2"/>
      <c r="R65" s="2"/>
      <c r="S65" s="2"/>
      <c r="T65" s="2"/>
      <c r="U65" s="2"/>
      <c r="V65" s="2"/>
      <c r="W65" s="2"/>
      <c r="X65" s="2"/>
    </row>
    <row r="66" spans="14:24" x14ac:dyDescent="0.2">
      <c r="N66" s="2"/>
      <c r="Q66" s="2"/>
      <c r="R66" s="2"/>
      <c r="S66" s="2"/>
      <c r="T66" s="2"/>
      <c r="U66" s="2"/>
      <c r="V66" s="2"/>
      <c r="W66" s="2"/>
      <c r="X66" s="2"/>
    </row>
    <row r="67" spans="14:24" x14ac:dyDescent="0.2">
      <c r="N67" s="2"/>
      <c r="Q67" s="2"/>
      <c r="R67" s="2"/>
      <c r="S67" s="2"/>
      <c r="T67" s="2"/>
      <c r="U67" s="2"/>
      <c r="V67" s="2"/>
      <c r="W67" s="2"/>
      <c r="X67" s="2"/>
    </row>
    <row r="68" spans="14:24" x14ac:dyDescent="0.2">
      <c r="N68" s="2"/>
      <c r="Q68" s="2"/>
      <c r="R68" s="2"/>
      <c r="S68" s="2"/>
      <c r="T68" s="2"/>
      <c r="U68" s="2"/>
      <c r="V68" s="2"/>
      <c r="W68" s="2"/>
      <c r="X68" s="2"/>
    </row>
    <row r="69" spans="14:24" x14ac:dyDescent="0.2">
      <c r="N69" s="2"/>
      <c r="Q69" s="2"/>
      <c r="R69" s="2"/>
      <c r="S69" s="2"/>
      <c r="T69" s="2"/>
      <c r="U69" s="2"/>
      <c r="V69" s="2"/>
      <c r="W69" s="2"/>
      <c r="X69" s="2"/>
    </row>
    <row r="70" spans="14:24" x14ac:dyDescent="0.2">
      <c r="N70" s="2"/>
      <c r="Q70" s="2"/>
      <c r="R70" s="2"/>
      <c r="S70" s="2"/>
      <c r="T70" s="2"/>
      <c r="U70" s="2"/>
      <c r="V70" s="2"/>
      <c r="W70" s="2"/>
      <c r="X70" s="2"/>
    </row>
    <row r="71" spans="14:24" x14ac:dyDescent="0.2">
      <c r="N71" s="2"/>
      <c r="Q71" s="2"/>
      <c r="R71" s="2"/>
      <c r="S71" s="2"/>
      <c r="T71" s="2"/>
      <c r="U71" s="2"/>
      <c r="V71" s="2"/>
      <c r="W71" s="2"/>
      <c r="X71" s="2"/>
    </row>
    <row r="72" spans="14:24" x14ac:dyDescent="0.2">
      <c r="N72" s="2"/>
      <c r="Q72" s="2"/>
      <c r="R72" s="2"/>
      <c r="S72" s="2"/>
      <c r="T72" s="2"/>
      <c r="U72" s="2"/>
      <c r="V72" s="2"/>
      <c r="W72" s="2"/>
      <c r="X72" s="2"/>
    </row>
    <row r="73" spans="14:24" x14ac:dyDescent="0.2">
      <c r="N73" s="2"/>
      <c r="Q73" s="2"/>
      <c r="R73" s="2"/>
      <c r="S73" s="2"/>
      <c r="T73" s="2"/>
      <c r="U73" s="2"/>
      <c r="V73" s="2"/>
      <c r="W73" s="2"/>
      <c r="X73" s="2"/>
    </row>
    <row r="74" spans="14:24" x14ac:dyDescent="0.2">
      <c r="N74" s="2"/>
      <c r="Q74" s="2"/>
      <c r="R74" s="2"/>
      <c r="S74" s="2"/>
      <c r="T74" s="2"/>
      <c r="U74" s="2"/>
      <c r="V74" s="2"/>
      <c r="W74" s="2"/>
      <c r="X74" s="2"/>
    </row>
    <row r="75" spans="14:24" x14ac:dyDescent="0.2">
      <c r="N75" s="2"/>
      <c r="Q75" s="2"/>
      <c r="R75" s="2"/>
      <c r="S75" s="2"/>
      <c r="T75" s="2"/>
      <c r="U75" s="2"/>
      <c r="V75" s="2"/>
      <c r="W75" s="2"/>
      <c r="X75" s="2"/>
    </row>
    <row r="76" spans="14:24" x14ac:dyDescent="0.2">
      <c r="N76" s="2"/>
      <c r="Q76" s="2"/>
      <c r="R76" s="2"/>
      <c r="S76" s="2"/>
      <c r="T76" s="2"/>
      <c r="U76" s="2"/>
      <c r="V76" s="2"/>
      <c r="W76" s="2"/>
      <c r="X76" s="2"/>
    </row>
    <row r="77" spans="14:24" x14ac:dyDescent="0.2">
      <c r="N77" s="2"/>
      <c r="Q77" s="2"/>
      <c r="R77" s="2"/>
      <c r="S77" s="2"/>
      <c r="T77" s="2"/>
      <c r="U77" s="2"/>
      <c r="V77" s="2"/>
      <c r="W77" s="2"/>
      <c r="X77" s="2"/>
    </row>
    <row r="78" spans="14:24" x14ac:dyDescent="0.2">
      <c r="N78" s="2"/>
      <c r="Q78" s="2"/>
      <c r="R78" s="2"/>
      <c r="S78" s="2"/>
      <c r="T78" s="2"/>
      <c r="U78" s="2"/>
      <c r="V78" s="2"/>
      <c r="W78" s="2"/>
      <c r="X78" s="2"/>
    </row>
    <row r="79" spans="14:24" x14ac:dyDescent="0.2">
      <c r="N79" s="2"/>
      <c r="Q79" s="2"/>
      <c r="R79" s="2"/>
      <c r="S79" s="2"/>
      <c r="T79" s="2"/>
      <c r="U79" s="2"/>
      <c r="V79" s="2"/>
      <c r="W79" s="2"/>
      <c r="X79" s="2"/>
    </row>
    <row r="80" spans="14:24" x14ac:dyDescent="0.2">
      <c r="N80" s="2"/>
      <c r="Q80" s="2"/>
      <c r="R80" s="2"/>
      <c r="S80" s="2"/>
      <c r="T80" s="2"/>
      <c r="U80" s="2"/>
      <c r="V80" s="2"/>
      <c r="W80" s="2"/>
      <c r="X80" s="2"/>
    </row>
    <row r="81" spans="14:24" x14ac:dyDescent="0.2">
      <c r="N81" s="2"/>
      <c r="Q81" s="2"/>
      <c r="R81" s="2"/>
      <c r="S81" s="2"/>
      <c r="T81" s="2"/>
      <c r="U81" s="2"/>
      <c r="V81" s="2"/>
      <c r="W81" s="2"/>
      <c r="X81" s="2"/>
    </row>
    <row r="82" spans="14:24" x14ac:dyDescent="0.2">
      <c r="N82" s="2"/>
      <c r="Q82" s="2"/>
      <c r="R82" s="2"/>
      <c r="S82" s="2"/>
      <c r="T82" s="2"/>
      <c r="U82" s="2"/>
      <c r="V82" s="2"/>
      <c r="W82" s="2"/>
      <c r="X82" s="2"/>
    </row>
    <row r="83" spans="14:24" x14ac:dyDescent="0.2">
      <c r="N83" s="2"/>
      <c r="Q83" s="2"/>
      <c r="R83" s="2"/>
      <c r="S83" s="2"/>
      <c r="T83" s="2"/>
      <c r="U83" s="2"/>
      <c r="V83" s="2"/>
      <c r="W83" s="2"/>
      <c r="X83" s="2"/>
    </row>
    <row r="84" spans="14:24" x14ac:dyDescent="0.2">
      <c r="N84" s="2"/>
      <c r="Q84" s="2"/>
      <c r="R84" s="2"/>
      <c r="S84" s="2"/>
      <c r="T84" s="2"/>
      <c r="U84" s="2"/>
      <c r="V84" s="2"/>
      <c r="W84" s="2"/>
      <c r="X84" s="2"/>
    </row>
    <row r="85" spans="14:24" x14ac:dyDescent="0.2">
      <c r="N85" s="2"/>
      <c r="Q85" s="2"/>
      <c r="R85" s="2"/>
      <c r="S85" s="2"/>
      <c r="T85" s="2"/>
      <c r="U85" s="2"/>
      <c r="V85" s="2"/>
      <c r="W85" s="2"/>
      <c r="X85" s="2"/>
    </row>
    <row r="86" spans="14:24" x14ac:dyDescent="0.2">
      <c r="N86" s="2"/>
      <c r="Q86" s="2"/>
      <c r="R86" s="2"/>
      <c r="S86" s="2"/>
      <c r="T86" s="2"/>
      <c r="U86" s="2"/>
      <c r="V86" s="2"/>
      <c r="W86" s="2"/>
      <c r="X86" s="2"/>
    </row>
    <row r="87" spans="14:24" x14ac:dyDescent="0.2">
      <c r="N87" s="2"/>
      <c r="Q87" s="2"/>
      <c r="R87" s="2"/>
      <c r="S87" s="2"/>
      <c r="T87" s="2"/>
      <c r="U87" s="2"/>
      <c r="V87" s="2"/>
      <c r="W87" s="2"/>
      <c r="X87" s="2"/>
    </row>
    <row r="88" spans="14:24" x14ac:dyDescent="0.2">
      <c r="N88" s="2"/>
      <c r="Q88" s="2"/>
      <c r="R88" s="2"/>
      <c r="S88" s="2"/>
      <c r="T88" s="2"/>
      <c r="U88" s="2"/>
      <c r="V88" s="2"/>
      <c r="W88" s="2"/>
      <c r="X88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2019-03-08T19:24:34Z</dcterms:created>
  <dcterms:modified xsi:type="dcterms:W3CDTF">2019-03-10T19:17:43Z</dcterms:modified>
</cp:coreProperties>
</file>