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plukci/Desktop/Лабы/2.4.1/"/>
    </mc:Choice>
  </mc:AlternateContent>
  <xr:revisionPtr revIDLastSave="0" documentId="13_ncr:1_{B9743D25-D77C-0A41-A295-96D05506BAA2}" xr6:coauthVersionLast="36" xr6:coauthVersionMax="36" xr10:uidLastSave="{00000000-0000-0000-0000-000000000000}"/>
  <bookViews>
    <workbookView xWindow="0" yWindow="0" windowWidth="28800" windowHeight="18000" xr2:uid="{BBE330D3-AA74-1847-8A54-E5F6468FF55A}"/>
  </bookViews>
  <sheets>
    <sheet name="Лист1" sheetId="1" r:id="rId1"/>
  </sheets>
  <definedNames>
    <definedName name="_xlchart.v1.0" hidden="1">Лист1!$E$3:$E$9</definedName>
    <definedName name="_xlchart.v1.1" hidden="1">Лист1!$F$3:$F$9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6" i="1"/>
  <c r="N3" i="1"/>
  <c r="R9" i="1"/>
  <c r="F4" i="1"/>
  <c r="F5" i="1"/>
  <c r="F6" i="1"/>
  <c r="F7" i="1"/>
  <c r="F8" i="1"/>
  <c r="F9" i="1"/>
  <c r="F10" i="1"/>
  <c r="F11" i="1"/>
  <c r="F12" i="1"/>
  <c r="F13" i="1"/>
  <c r="F14" i="1"/>
  <c r="F3" i="1"/>
  <c r="O3" i="1"/>
  <c r="J3" i="1" l="1"/>
  <c r="R3" i="1"/>
  <c r="H4" i="1"/>
  <c r="H5" i="1"/>
  <c r="H6" i="1"/>
  <c r="H7" i="1"/>
  <c r="H8" i="1"/>
  <c r="H9" i="1"/>
  <c r="H10" i="1"/>
  <c r="H11" i="1"/>
  <c r="H12" i="1"/>
  <c r="H13" i="1"/>
  <c r="H14" i="1"/>
  <c r="H3" i="1"/>
  <c r="J4" i="1"/>
  <c r="J5" i="1"/>
  <c r="J6" i="1"/>
  <c r="J7" i="1"/>
  <c r="J8" i="1"/>
  <c r="J9" i="1"/>
  <c r="J10" i="1"/>
  <c r="J11" i="1"/>
  <c r="J12" i="1"/>
  <c r="J13" i="1"/>
  <c r="J14" i="1"/>
  <c r="D4" i="1"/>
  <c r="D5" i="1"/>
  <c r="D6" i="1"/>
  <c r="D7" i="1"/>
  <c r="D8" i="1"/>
  <c r="D9" i="1"/>
  <c r="D10" i="1"/>
  <c r="D11" i="1"/>
  <c r="D12" i="1"/>
  <c r="D13" i="1"/>
  <c r="D14" i="1"/>
  <c r="D3" i="1"/>
  <c r="I3" i="1"/>
  <c r="T3" i="1"/>
  <c r="S3" i="1"/>
  <c r="K3" i="1"/>
  <c r="B19" i="1"/>
  <c r="P3" i="1" l="1"/>
  <c r="E11" i="1"/>
  <c r="K11" i="1" s="1"/>
  <c r="E12" i="1"/>
  <c r="K12" i="1" s="1"/>
  <c r="B10" i="1"/>
  <c r="E10" i="1" s="1"/>
  <c r="K10" i="1" s="1"/>
  <c r="B11" i="1"/>
  <c r="B12" i="1"/>
  <c r="B13" i="1"/>
  <c r="E13" i="1" s="1"/>
  <c r="K13" i="1" s="1"/>
  <c r="B14" i="1"/>
  <c r="E14" i="1" s="1"/>
  <c r="K14" i="1" s="1"/>
  <c r="M11" i="1" l="1"/>
  <c r="L11" i="1"/>
  <c r="M12" i="1"/>
  <c r="L12" i="1"/>
  <c r="M13" i="1"/>
  <c r="L13" i="1"/>
  <c r="I14" i="1"/>
  <c r="I10" i="1"/>
  <c r="I11" i="1"/>
  <c r="I13" i="1"/>
  <c r="I12" i="1"/>
  <c r="E9" i="1"/>
  <c r="K9" i="1" s="1"/>
  <c r="E5" i="1"/>
  <c r="K5" i="1" s="1"/>
  <c r="E6" i="1"/>
  <c r="K6" i="1" s="1"/>
  <c r="E3" i="1"/>
  <c r="B4" i="1"/>
  <c r="E4" i="1" s="1"/>
  <c r="K4" i="1" s="1"/>
  <c r="B5" i="1"/>
  <c r="B6" i="1"/>
  <c r="B7" i="1"/>
  <c r="E7" i="1" s="1"/>
  <c r="K7" i="1" s="1"/>
  <c r="B8" i="1"/>
  <c r="E8" i="1" s="1"/>
  <c r="K8" i="1" s="1"/>
  <c r="B9" i="1"/>
  <c r="B3" i="1"/>
  <c r="M3" i="1" l="1"/>
  <c r="L3" i="1"/>
  <c r="I7" i="1"/>
  <c r="I9" i="1"/>
  <c r="I8" i="1"/>
  <c r="I6" i="1"/>
  <c r="I5" i="1"/>
  <c r="M10" i="1"/>
  <c r="L10" i="1"/>
  <c r="I4" i="1"/>
  <c r="M14" i="1"/>
  <c r="L14" i="1"/>
  <c r="U3" i="1" l="1"/>
  <c r="Q3" i="1"/>
  <c r="M6" i="1"/>
  <c r="L6" i="1"/>
  <c r="M4" i="1"/>
  <c r="L4" i="1"/>
  <c r="L7" i="1"/>
  <c r="M7" i="1"/>
  <c r="M8" i="1"/>
  <c r="L8" i="1"/>
  <c r="M9" i="1"/>
  <c r="L9" i="1"/>
  <c r="L5" i="1"/>
  <c r="M5" i="1"/>
  <c r="V3" i="1" l="1"/>
  <c r="W3" i="1"/>
  <c r="P6" i="1"/>
  <c r="P9" i="1" s="1"/>
  <c r="Q6" i="1" l="1"/>
  <c r="R6" i="1" s="1"/>
  <c r="Q9" i="1" l="1"/>
</calcChain>
</file>

<file path=xl/sharedStrings.xml><?xml version="1.0" encoding="utf-8"?>
<sst xmlns="http://schemas.openxmlformats.org/spreadsheetml/2006/main" count="32" uniqueCount="30">
  <si>
    <t>T, °C</t>
  </si>
  <si>
    <t>Δh, mm</t>
  </si>
  <si>
    <t>P, pa</t>
  </si>
  <si>
    <t>T, K</t>
  </si>
  <si>
    <t>1/T, K^-1</t>
  </si>
  <si>
    <t>log(P)</t>
  </si>
  <si>
    <t>hводы, mm</t>
  </si>
  <si>
    <t>Pводы, pa</t>
  </si>
  <si>
    <t>P^2</t>
  </si>
  <si>
    <t>T^2</t>
  </si>
  <si>
    <t>T*P</t>
  </si>
  <si>
    <t>1/T^2</t>
  </si>
  <si>
    <t>logP^2</t>
  </si>
  <si>
    <t>1/T*logP</t>
  </si>
  <si>
    <t>&lt;T&gt;</t>
  </si>
  <si>
    <t>&lt;T^2&gt;</t>
  </si>
  <si>
    <t>&lt;P&gt;</t>
  </si>
  <si>
    <t>&lt;P^2&gt;</t>
  </si>
  <si>
    <t>&lt;T*P&gt;</t>
  </si>
  <si>
    <t>&lt;1/T&gt;</t>
  </si>
  <si>
    <t>&lt;1/T^2&gt;</t>
  </si>
  <si>
    <t>&lt;logP&gt;</t>
  </si>
  <si>
    <t>&lt;logP^2&gt;</t>
  </si>
  <si>
    <t>&lt;1/T*logP&gt;</t>
  </si>
  <si>
    <t>L, Дж/моль</t>
  </si>
  <si>
    <t>σL, Дж/моль</t>
  </si>
  <si>
    <t>dP/dT, Па/К</t>
  </si>
  <si>
    <t>σ dP/dT, Па/К</t>
  </si>
  <si>
    <t>dLnP/dT^-1, К</t>
  </si>
  <si>
    <t>σ dLnP/dT^-1, 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</si>
</sst>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xVal>
          <c:yVal>
            <c:numRef>
              <c:f>Лист1!$D$3:$D$9</c:f>
              <c:numCache>
                <c:formatCode>General</c:formatCode>
                <c:ptCount val="7"/>
                <c:pt idx="0">
                  <c:v>1894.7544119999998</c:v>
                </c:pt>
                <c:pt idx="1">
                  <c:v>2545.8970859999999</c:v>
                </c:pt>
                <c:pt idx="2">
                  <c:v>4140.5322059999999</c:v>
                </c:pt>
                <c:pt idx="3">
                  <c:v>4911.2725140000002</c:v>
                </c:pt>
                <c:pt idx="4">
                  <c:v>6638.7938940000004</c:v>
                </c:pt>
                <c:pt idx="5">
                  <c:v>8711.8195499999983</c:v>
                </c:pt>
                <c:pt idx="6">
                  <c:v>11396.122001999998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A-F84F-80E1-2008B39D62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Лист1!$A$10:$A$14</c:f>
              <c:numCache>
                <c:formatCode>General</c:formatCode>
                <c:ptCount val="5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</c:numCache>
            </c:numRef>
          </c:xVal>
          <c:yVal>
            <c:numRef>
              <c:f>Лист1!$D$10:$D$14</c:f>
              <c:numCache>
                <c:formatCode>General</c:formatCode>
                <c:ptCount val="5"/>
                <c:pt idx="0">
                  <c:v>8804.8399320000008</c:v>
                </c:pt>
                <c:pt idx="1">
                  <c:v>6731.8142760000001</c:v>
                </c:pt>
                <c:pt idx="2">
                  <c:v>6014.2284720000007</c:v>
                </c:pt>
                <c:pt idx="3">
                  <c:v>3808.3165560000002</c:v>
                </c:pt>
                <c:pt idx="4">
                  <c:v>2758.5151019999998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1A-F84F-80E1-2008B39D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62015"/>
        <c:axId val="129655135"/>
      </c:scatterChart>
      <c:valAx>
        <c:axId val="12816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55135"/>
        <c:crosses val="autoZero"/>
        <c:crossBetween val="midCat"/>
      </c:valAx>
      <c:valAx>
        <c:axId val="1296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16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LnP(1/T)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Лист1!$E$3:$E$9</c:f>
              <c:numCache>
                <c:formatCode>General</c:formatCode>
                <c:ptCount val="7"/>
                <c:pt idx="0">
                  <c:v>3.4129692832764505E-3</c:v>
                </c:pt>
                <c:pt idx="1">
                  <c:v>3.3557046979865771E-3</c:v>
                </c:pt>
                <c:pt idx="2">
                  <c:v>3.3003300330033004E-3</c:v>
                </c:pt>
                <c:pt idx="3">
                  <c:v>3.246753246753247E-3</c:v>
                </c:pt>
                <c:pt idx="4">
                  <c:v>3.1948881789137379E-3</c:v>
                </c:pt>
                <c:pt idx="5">
                  <c:v>3.1446540880503146E-3</c:v>
                </c:pt>
                <c:pt idx="6">
                  <c:v>3.0959752321981426E-3</c:v>
                </c:pt>
              </c:numCache>
            </c:numRef>
          </c:xVal>
          <c:yVal>
            <c:numRef>
              <c:f>Лист1!$F$3:$F$9</c:f>
              <c:numCache>
                <c:formatCode>General</c:formatCode>
                <c:ptCount val="7"/>
                <c:pt idx="0">
                  <c:v>7.5468445112288123</c:v>
                </c:pt>
                <c:pt idx="1">
                  <c:v>7.8422383564621896</c:v>
                </c:pt>
                <c:pt idx="2">
                  <c:v>8.3285796107311505</c:v>
                </c:pt>
                <c:pt idx="3">
                  <c:v>8.4992883550311618</c:v>
                </c:pt>
                <c:pt idx="4">
                  <c:v>8.8006855835016093</c:v>
                </c:pt>
                <c:pt idx="5">
                  <c:v>9.0724359515883659</c:v>
                </c:pt>
                <c:pt idx="6">
                  <c:v>9.3410284012466995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1-C14B-A862-66E410513A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Лист1!$E$10:$E$14</c:f>
              <c:numCache>
                <c:formatCode>General</c:formatCode>
                <c:ptCount val="5"/>
                <c:pt idx="0">
                  <c:v>3.1446540880503146E-3</c:v>
                </c:pt>
                <c:pt idx="1">
                  <c:v>3.1948881789137379E-3</c:v>
                </c:pt>
                <c:pt idx="2">
                  <c:v>3.246753246753247E-3</c:v>
                </c:pt>
                <c:pt idx="3">
                  <c:v>3.3003300330033004E-3</c:v>
                </c:pt>
                <c:pt idx="4">
                  <c:v>3.3557046979865771E-3</c:v>
                </c:pt>
              </c:numCache>
            </c:numRef>
          </c:xVal>
          <c:yVal>
            <c:numRef>
              <c:f>Лист1!$F$10:$F$14</c:f>
              <c:numCache>
                <c:formatCode>General</c:formatCode>
                <c:ptCount val="5"/>
                <c:pt idx="0">
                  <c:v>9.083056841548709</c:v>
                </c:pt>
                <c:pt idx="1">
                  <c:v>8.8145999666948409</c:v>
                </c:pt>
                <c:pt idx="2">
                  <c:v>8.7018833528501514</c:v>
                </c:pt>
                <c:pt idx="3">
                  <c:v>8.2449425216578955</c:v>
                </c:pt>
                <c:pt idx="4">
                  <c:v>7.9224478074120182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1-C14B-A862-66E41051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89903"/>
        <c:axId val="128894415"/>
      </c:scatterChart>
      <c:valAx>
        <c:axId val="12908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894415"/>
        <c:crosses val="autoZero"/>
        <c:crossBetween val="midCat"/>
      </c:valAx>
      <c:valAx>
        <c:axId val="1288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8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23</xdr:row>
      <xdr:rowOff>0</xdr:rowOff>
    </xdr:from>
    <xdr:to>
      <xdr:col>12</xdr:col>
      <xdr:colOff>0</xdr:colOff>
      <xdr:row>39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2AFD0D3-497E-C44D-BAFC-6D700988B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20</xdr:col>
      <xdr:colOff>0</xdr:colOff>
      <xdr:row>39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48131A4-4B02-8044-B061-07C756C6E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B9F1-8761-1441-9750-B892631712A1}">
  <dimension ref="A1:W19"/>
  <sheetViews>
    <sheetView tabSelected="1" workbookViewId="0">
      <selection activeCell="Q11" sqref="Q11"/>
    </sheetView>
  </sheetViews>
  <sheetFormatPr baseColWidth="10" defaultRowHeight="16" x14ac:dyDescent="0.2"/>
  <cols>
    <col min="1" max="10" width="10.83203125" style="1"/>
    <col min="11" max="11" width="12.1640625" style="1" bestFit="1" customWidth="1"/>
    <col min="12" max="16" width="10.83203125" style="1"/>
    <col min="17" max="17" width="11.1640625" style="1" bestFit="1" customWidth="1"/>
    <col min="18" max="18" width="10.83203125" style="1"/>
    <col min="20" max="20" width="12.1640625" bestFit="1" customWidth="1"/>
  </cols>
  <sheetData>
    <row r="1" spans="1:23" ht="17" thickBot="1" x14ac:dyDescent="0.25"/>
    <row r="2" spans="1:23" ht="17" thickBot="1" x14ac:dyDescent="0.25">
      <c r="A2" s="2" t="s">
        <v>0</v>
      </c>
      <c r="B2" s="2" t="s">
        <v>3</v>
      </c>
      <c r="C2" s="2" t="s">
        <v>1</v>
      </c>
      <c r="D2" s="2" t="s">
        <v>2</v>
      </c>
      <c r="E2" s="2" t="s">
        <v>4</v>
      </c>
      <c r="F2" s="2" t="s">
        <v>5</v>
      </c>
      <c r="H2" s="1" t="s">
        <v>9</v>
      </c>
      <c r="I2" s="1" t="s">
        <v>8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</row>
    <row r="3" spans="1:23" ht="17" thickBot="1" x14ac:dyDescent="0.25">
      <c r="A3" s="2">
        <v>20</v>
      </c>
      <c r="B3" s="2">
        <f>A3+273</f>
        <v>293</v>
      </c>
      <c r="C3" s="2">
        <v>16.2</v>
      </c>
      <c r="D3" s="2">
        <f>C3*13.546*9.81-$B$19</f>
        <v>1894.7544119999998</v>
      </c>
      <c r="E3" s="2">
        <f>1/B3</f>
        <v>3.4129692832764505E-3</v>
      </c>
      <c r="F3" s="2">
        <f>LOG(D3, EXP(1))</f>
        <v>7.5468445112288123</v>
      </c>
      <c r="H3" s="1">
        <f>B3^2</f>
        <v>85849</v>
      </c>
      <c r="I3" s="1">
        <f>D3^2</f>
        <v>3590094.2817934649</v>
      </c>
      <c r="J3" s="1">
        <f>B3*D3</f>
        <v>555163.04271599988</v>
      </c>
      <c r="K3" s="1">
        <f>E3^2</f>
        <v>1.1648359328588569E-5</v>
      </c>
      <c r="L3" s="1">
        <f>F3^2</f>
        <v>56.954862076664448</v>
      </c>
      <c r="M3" s="1">
        <f>E3*F3</f>
        <v>2.5757148502487413E-2</v>
      </c>
      <c r="N3" s="1">
        <f>AVERAGE(B3:B14)</f>
        <v>308</v>
      </c>
      <c r="O3" s="1">
        <f>AVERAGE(H3:H14)</f>
        <v>94943.166666666672</v>
      </c>
      <c r="P3" s="1">
        <f>AVERAGE(D3:D14)</f>
        <v>5696.4088335000006</v>
      </c>
      <c r="Q3" s="1">
        <f>AVERAGE(I3:I14)</f>
        <v>40191952.181667887</v>
      </c>
      <c r="R3" s="1">
        <f>AVERAGE(J3:J14)</f>
        <v>1778806.5693704996</v>
      </c>
      <c r="S3">
        <f>AVERAGE(E3:E14)</f>
        <v>3.2494670837407455E-3</v>
      </c>
      <c r="T3">
        <f>AVERAGE(K3:K14)</f>
        <v>1.0567868297479375E-5</v>
      </c>
      <c r="U3">
        <f>AVERAGE(F3:F14)</f>
        <v>8.5165026049961323</v>
      </c>
      <c r="V3">
        <f>AVERAGE(L3:L14)</f>
        <v>72.811733525966005</v>
      </c>
      <c r="W3">
        <f>AVERAGE(M3:M14)</f>
        <v>2.7624669803342886E-2</v>
      </c>
    </row>
    <row r="4" spans="1:23" ht="17" thickBot="1" x14ac:dyDescent="0.25">
      <c r="A4" s="2">
        <v>25</v>
      </c>
      <c r="B4" s="2">
        <f t="shared" ref="B4:B15" si="0">A4+273</f>
        <v>298</v>
      </c>
      <c r="C4" s="2">
        <v>21.1</v>
      </c>
      <c r="D4" s="2">
        <f t="shared" ref="D4:D14" si="1">C4*13.546*9.81-$B$19</f>
        <v>2545.8970859999999</v>
      </c>
      <c r="E4" s="2">
        <f t="shared" ref="E4:E15" si="2">1/B4</f>
        <v>3.3557046979865771E-3</v>
      </c>
      <c r="F4" s="2">
        <f t="shared" ref="F4:F14" si="3">LOG(D4, EXP(1))</f>
        <v>7.8422383564621896</v>
      </c>
      <c r="H4" s="1">
        <f t="shared" ref="H4:H14" si="4">B4^2</f>
        <v>88804</v>
      </c>
      <c r="I4" s="1">
        <f t="shared" ref="I4:I15" si="5">D4^2</f>
        <v>6481591.9725032914</v>
      </c>
      <c r="J4" s="1">
        <f t="shared" ref="J4:J14" si="6">B4*D4</f>
        <v>758677.33162800001</v>
      </c>
      <c r="K4" s="1">
        <f t="shared" ref="K4:K15" si="7">E4^2</f>
        <v>1.1260754020089185E-5</v>
      </c>
      <c r="L4" s="1">
        <f t="shared" ref="L4:L15" si="8">F4^2</f>
        <v>61.500702439566787</v>
      </c>
      <c r="M4" s="1">
        <f t="shared" ref="M4:M15" si="9">E4*F4</f>
        <v>2.6316236095510703E-2</v>
      </c>
    </row>
    <row r="5" spans="1:23" ht="17" thickBot="1" x14ac:dyDescent="0.25">
      <c r="A5" s="2">
        <v>30</v>
      </c>
      <c r="B5" s="2">
        <f t="shared" si="0"/>
        <v>303</v>
      </c>
      <c r="C5" s="2">
        <v>33.1</v>
      </c>
      <c r="D5" s="2">
        <f t="shared" si="1"/>
        <v>4140.5322059999999</v>
      </c>
      <c r="E5" s="2">
        <f t="shared" si="2"/>
        <v>3.3003300330033004E-3</v>
      </c>
      <c r="F5" s="2">
        <f t="shared" si="3"/>
        <v>8.3285796107311505</v>
      </c>
      <c r="H5" s="1">
        <f t="shared" si="4"/>
        <v>91809</v>
      </c>
      <c r="I5" s="1">
        <f t="shared" si="5"/>
        <v>17144006.948923226</v>
      </c>
      <c r="J5" s="1">
        <f t="shared" si="6"/>
        <v>1254581.2584180001</v>
      </c>
      <c r="K5" s="1">
        <f t="shared" si="7"/>
        <v>1.0892178326743566E-5</v>
      </c>
      <c r="L5" s="1">
        <f t="shared" si="8"/>
        <v>69.365238332286637</v>
      </c>
      <c r="M5" s="1">
        <f t="shared" si="9"/>
        <v>2.7487061421554951E-2</v>
      </c>
      <c r="O5" s="2" t="s">
        <v>26</v>
      </c>
      <c r="P5" s="2" t="s">
        <v>27</v>
      </c>
      <c r="Q5" s="2" t="s">
        <v>28</v>
      </c>
      <c r="R5" s="2" t="s">
        <v>29</v>
      </c>
    </row>
    <row r="6" spans="1:23" ht="17" thickBot="1" x14ac:dyDescent="0.25">
      <c r="A6" s="2">
        <v>35</v>
      </c>
      <c r="B6" s="2">
        <f t="shared" si="0"/>
        <v>308</v>
      </c>
      <c r="C6" s="2">
        <v>38.9</v>
      </c>
      <c r="D6" s="2">
        <f t="shared" si="1"/>
        <v>4911.2725140000002</v>
      </c>
      <c r="E6" s="2">
        <f t="shared" si="2"/>
        <v>3.246753246753247E-3</v>
      </c>
      <c r="F6" s="2">
        <f t="shared" si="3"/>
        <v>8.4992883550311618</v>
      </c>
      <c r="H6" s="1">
        <f t="shared" si="4"/>
        <v>94864</v>
      </c>
      <c r="I6" s="1">
        <f t="shared" si="5"/>
        <v>24120597.706771884</v>
      </c>
      <c r="J6" s="1">
        <f t="shared" si="6"/>
        <v>1512671.9343120002</v>
      </c>
      <c r="K6" s="1">
        <f t="shared" si="7"/>
        <v>1.0541406645302751E-5</v>
      </c>
      <c r="L6" s="1">
        <f t="shared" si="8"/>
        <v>72.23790254196831</v>
      </c>
      <c r="M6" s="1">
        <f t="shared" si="9"/>
        <v>2.7595092061789488E-2</v>
      </c>
      <c r="O6" s="2">
        <f>(R3-N3*P3)/(O3 - N3^2)</f>
        <v>307.10714087365665</v>
      </c>
      <c r="P6" s="2">
        <f>SQRT(((Q3-P3^2)/(O3-N3^2)-O6^2)/12)</f>
        <v>17.053802433111183</v>
      </c>
      <c r="Q6" s="2">
        <f>(W3-S3*U3)/(T3-S3^2)</f>
        <v>-5596.1563341272549</v>
      </c>
      <c r="R6" s="2">
        <f>SQRT(((V3-U3^2)/(T3-S3^2)-Q6^2)/12)</f>
        <v>202.04375047945007</v>
      </c>
    </row>
    <row r="7" spans="1:23" ht="17" thickBot="1" x14ac:dyDescent="0.25">
      <c r="A7" s="2">
        <v>40</v>
      </c>
      <c r="B7" s="2">
        <f t="shared" si="0"/>
        <v>313</v>
      </c>
      <c r="C7" s="2">
        <v>51.9</v>
      </c>
      <c r="D7" s="2">
        <f t="shared" si="1"/>
        <v>6638.7938940000004</v>
      </c>
      <c r="E7" s="2">
        <f t="shared" si="2"/>
        <v>3.1948881789137379E-3</v>
      </c>
      <c r="F7" s="2">
        <f t="shared" si="3"/>
        <v>8.8006855835016093</v>
      </c>
      <c r="H7" s="1">
        <f t="shared" si="4"/>
        <v>97969</v>
      </c>
      <c r="I7" s="1">
        <f t="shared" si="5"/>
        <v>44073584.367011689</v>
      </c>
      <c r="J7" s="1">
        <f t="shared" si="6"/>
        <v>2077942.4888220001</v>
      </c>
      <c r="K7" s="1">
        <f t="shared" si="7"/>
        <v>1.020731047576274E-5</v>
      </c>
      <c r="L7" s="1">
        <f t="shared" si="8"/>
        <v>77.452066739653063</v>
      </c>
      <c r="M7" s="1">
        <f t="shared" si="9"/>
        <v>2.8117206337065843E-2</v>
      </c>
    </row>
    <row r="8" spans="1:23" ht="17" thickBot="1" x14ac:dyDescent="0.25">
      <c r="A8" s="2">
        <v>45</v>
      </c>
      <c r="B8" s="2">
        <f t="shared" si="0"/>
        <v>318</v>
      </c>
      <c r="C8" s="2">
        <v>67.5</v>
      </c>
      <c r="D8" s="2">
        <f t="shared" si="1"/>
        <v>8711.8195499999983</v>
      </c>
      <c r="E8" s="2">
        <f t="shared" si="2"/>
        <v>3.1446540880503146E-3</v>
      </c>
      <c r="F8" s="2">
        <f t="shared" si="3"/>
        <v>9.0724359515883659</v>
      </c>
      <c r="H8" s="1">
        <f t="shared" si="4"/>
        <v>101124</v>
      </c>
      <c r="I8" s="1">
        <f t="shared" si="5"/>
        <v>75895799.871762171</v>
      </c>
      <c r="J8" s="1">
        <f t="shared" si="6"/>
        <v>2770358.6168999993</v>
      </c>
      <c r="K8" s="1">
        <f t="shared" si="7"/>
        <v>9.8888493334915555E-6</v>
      </c>
      <c r="L8" s="1">
        <f t="shared" si="8"/>
        <v>82.309094095673103</v>
      </c>
      <c r="M8" s="1">
        <f t="shared" si="9"/>
        <v>2.8529672803737E-2</v>
      </c>
      <c r="O8" s="2" t="s">
        <v>24</v>
      </c>
      <c r="P8" s="2" t="s">
        <v>25</v>
      </c>
      <c r="Q8" s="2" t="s">
        <v>24</v>
      </c>
      <c r="R8" s="2" t="s">
        <v>25</v>
      </c>
    </row>
    <row r="9" spans="1:23" ht="17" thickBot="1" x14ac:dyDescent="0.25">
      <c r="A9" s="2">
        <v>50</v>
      </c>
      <c r="B9" s="2">
        <f t="shared" si="0"/>
        <v>323</v>
      </c>
      <c r="C9" s="2">
        <v>87.7</v>
      </c>
      <c r="D9" s="2">
        <f t="shared" si="1"/>
        <v>11396.122001999998</v>
      </c>
      <c r="E9" s="2">
        <f t="shared" si="2"/>
        <v>3.0959752321981426E-3</v>
      </c>
      <c r="F9" s="2">
        <f t="shared" si="3"/>
        <v>9.3410284012466995</v>
      </c>
      <c r="H9" s="1">
        <f t="shared" si="4"/>
        <v>104329</v>
      </c>
      <c r="I9" s="1">
        <f t="shared" si="5"/>
        <v>129871596.68446845</v>
      </c>
      <c r="J9" s="1">
        <f t="shared" si="6"/>
        <v>3680947.4066459993</v>
      </c>
      <c r="K9" s="1">
        <f t="shared" si="7"/>
        <v>9.585062638384343E-6</v>
      </c>
      <c r="L9" s="1">
        <f t="shared" si="8"/>
        <v>87.254811592897468</v>
      </c>
      <c r="M9" s="1">
        <f t="shared" si="9"/>
        <v>2.8919592573519195E-2</v>
      </c>
      <c r="O9" s="3">
        <f>8.31*2*N3^2*O6/(D6+D12)</f>
        <v>44318.087100372803</v>
      </c>
      <c r="P9" s="3">
        <f>O9*SQRT((P6/O6)^2)</f>
        <v>2461.0039983866823</v>
      </c>
      <c r="Q9" s="3">
        <f>-8.31*Q6</f>
        <v>46504.059136597491</v>
      </c>
      <c r="R9" s="3">
        <f>8.31*R6</f>
        <v>1678.9835664842301</v>
      </c>
    </row>
    <row r="10" spans="1:23" ht="17" thickBot="1" x14ac:dyDescent="0.25">
      <c r="A10" s="2">
        <v>45</v>
      </c>
      <c r="B10" s="2">
        <f>A10+273</f>
        <v>318</v>
      </c>
      <c r="C10" s="2">
        <v>68.2</v>
      </c>
      <c r="D10" s="2">
        <f t="shared" si="1"/>
        <v>8804.8399320000008</v>
      </c>
      <c r="E10" s="2">
        <f>1/B10</f>
        <v>3.1446540880503146E-3</v>
      </c>
      <c r="F10" s="2">
        <f t="shared" si="3"/>
        <v>9.083056841548709</v>
      </c>
      <c r="H10" s="1">
        <f t="shared" si="4"/>
        <v>101124</v>
      </c>
      <c r="I10" s="1">
        <f>D10^2</f>
        <v>77525206.228141785</v>
      </c>
      <c r="J10" s="1">
        <f t="shared" si="6"/>
        <v>2799939.0983760003</v>
      </c>
      <c r="K10" s="1">
        <f>E10^2</f>
        <v>9.8888493334915555E-6</v>
      </c>
      <c r="L10" s="1">
        <f>F10^2</f>
        <v>82.501921586804812</v>
      </c>
      <c r="M10" s="1">
        <f>E10*F10</f>
        <v>2.8563071828769528E-2</v>
      </c>
    </row>
    <row r="11" spans="1:23" ht="17" thickBot="1" x14ac:dyDescent="0.25">
      <c r="A11" s="2">
        <v>40</v>
      </c>
      <c r="B11" s="2">
        <f>A11+273</f>
        <v>313</v>
      </c>
      <c r="C11" s="2">
        <v>52.6</v>
      </c>
      <c r="D11" s="2">
        <f t="shared" si="1"/>
        <v>6731.8142760000001</v>
      </c>
      <c r="E11" s="2">
        <f>1/B11</f>
        <v>3.1948881789137379E-3</v>
      </c>
      <c r="F11" s="2">
        <f t="shared" si="3"/>
        <v>8.8145999666948409</v>
      </c>
      <c r="H11" s="1">
        <f t="shared" si="4"/>
        <v>97969</v>
      </c>
      <c r="I11" s="1">
        <f>D11^2</f>
        <v>45317323.446557403</v>
      </c>
      <c r="J11" s="1">
        <f t="shared" si="6"/>
        <v>2107057.8683879999</v>
      </c>
      <c r="K11" s="1">
        <f>E11^2</f>
        <v>1.020731047576274E-5</v>
      </c>
      <c r="L11" s="1">
        <f>F11^2</f>
        <v>77.697172572856687</v>
      </c>
      <c r="M11" s="1">
        <f>E11*F11</f>
        <v>2.8161661235446774E-2</v>
      </c>
    </row>
    <row r="12" spans="1:23" ht="17" thickBot="1" x14ac:dyDescent="0.25">
      <c r="A12" s="2">
        <v>35</v>
      </c>
      <c r="B12" s="2">
        <f>A12+273</f>
        <v>308</v>
      </c>
      <c r="C12" s="2">
        <v>47.2</v>
      </c>
      <c r="D12" s="2">
        <f t="shared" si="1"/>
        <v>6014.2284720000007</v>
      </c>
      <c r="E12" s="2">
        <f>1/B12</f>
        <v>3.246753246753247E-3</v>
      </c>
      <c r="F12" s="2">
        <f t="shared" si="3"/>
        <v>8.7018833528501514</v>
      </c>
      <c r="H12" s="1">
        <f t="shared" si="4"/>
        <v>94864</v>
      </c>
      <c r="I12" s="1">
        <f>D12^2</f>
        <v>36170944.113415465</v>
      </c>
      <c r="J12" s="1">
        <f t="shared" si="6"/>
        <v>1852382.3693760002</v>
      </c>
      <c r="K12" s="1">
        <f>E12^2</f>
        <v>1.0541406645302751E-5</v>
      </c>
      <c r="L12" s="1">
        <f>F12^2</f>
        <v>75.722773886610597</v>
      </c>
      <c r="M12" s="1">
        <f>E12*F12</f>
        <v>2.8252868028734258E-2</v>
      </c>
    </row>
    <row r="13" spans="1:23" ht="17" thickBot="1" x14ac:dyDescent="0.25">
      <c r="A13" s="2">
        <v>30</v>
      </c>
      <c r="B13" s="2">
        <f>A13+273</f>
        <v>303</v>
      </c>
      <c r="C13" s="2">
        <v>30.6</v>
      </c>
      <c r="D13" s="2">
        <f t="shared" si="1"/>
        <v>3808.3165560000002</v>
      </c>
      <c r="E13" s="2">
        <f>1/B13</f>
        <v>3.3003300330033004E-3</v>
      </c>
      <c r="F13" s="2">
        <f t="shared" si="3"/>
        <v>8.2449425216578955</v>
      </c>
      <c r="H13" s="1">
        <f t="shared" si="4"/>
        <v>91809</v>
      </c>
      <c r="I13" s="1">
        <f>D13^2</f>
        <v>14503274.990703702</v>
      </c>
      <c r="J13" s="1">
        <f t="shared" si="6"/>
        <v>1153919.916468</v>
      </c>
      <c r="K13" s="1">
        <f>E13^2</f>
        <v>1.0892178326743566E-5</v>
      </c>
      <c r="L13" s="1">
        <f>F13^2</f>
        <v>67.979077185442463</v>
      </c>
      <c r="M13" s="1">
        <f>E13*F13</f>
        <v>2.7211031424613518E-2</v>
      </c>
    </row>
    <row r="14" spans="1:23" ht="17" thickBot="1" x14ac:dyDescent="0.25">
      <c r="A14" s="2">
        <v>25</v>
      </c>
      <c r="B14" s="2">
        <f>A14+273</f>
        <v>298</v>
      </c>
      <c r="C14" s="2">
        <v>22.7</v>
      </c>
      <c r="D14" s="2">
        <f t="shared" si="1"/>
        <v>2758.5151019999998</v>
      </c>
      <c r="E14" s="2">
        <f>1/B14</f>
        <v>3.3557046979865771E-3</v>
      </c>
      <c r="F14" s="2">
        <f t="shared" si="3"/>
        <v>7.9224478074120182</v>
      </c>
      <c r="H14" s="1">
        <f t="shared" si="4"/>
        <v>88804</v>
      </c>
      <c r="I14" s="1">
        <f>D14^2</f>
        <v>7609405.56796207</v>
      </c>
      <c r="J14" s="1">
        <f t="shared" si="6"/>
        <v>822037.50039599999</v>
      </c>
      <c r="K14" s="1">
        <f>E14^2</f>
        <v>1.1260754020089185E-5</v>
      </c>
      <c r="L14" s="1">
        <f>F14^2</f>
        <v>62.765179261167496</v>
      </c>
      <c r="M14" s="1">
        <f>E14*F14</f>
        <v>2.6585395326885967E-2</v>
      </c>
    </row>
    <row r="17" spans="1:2" ht="17" thickBot="1" x14ac:dyDescent="0.25"/>
    <row r="18" spans="1:2" ht="17" thickBot="1" x14ac:dyDescent="0.25">
      <c r="A18" s="2" t="s">
        <v>6</v>
      </c>
      <c r="B18" s="2" t="s">
        <v>7</v>
      </c>
    </row>
    <row r="19" spans="1:2" ht="17" thickBot="1" x14ac:dyDescent="0.25">
      <c r="A19" s="2">
        <v>26.3</v>
      </c>
      <c r="B19" s="2">
        <f>9.81*A19</f>
        <v>258.00300000000004</v>
      </c>
    </row>
  </sheetData>
  <pageMargins left="0.7" right="0.7" top="0.75" bottom="0.75" header="0.3" footer="0.3"/>
  <ignoredErrors>
    <ignoredError sqref="O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2019-02-18T12:30:29Z</dcterms:created>
  <dcterms:modified xsi:type="dcterms:W3CDTF">2019-02-24T12:38:08Z</dcterms:modified>
</cp:coreProperties>
</file>