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4" r:id="rId1"/>
  </sheets>
  <calcPr calcId="144525"/>
</workbook>
</file>

<file path=xl/calcChain.xml><?xml version="1.0" encoding="utf-8"?>
<calcChain xmlns="http://schemas.openxmlformats.org/spreadsheetml/2006/main">
  <c r="C37" i="4" l="1"/>
  <c r="B37" i="4"/>
  <c r="B36" i="4"/>
  <c r="C35" i="4"/>
  <c r="B35" i="4"/>
  <c r="C33" i="4"/>
  <c r="B33" i="4"/>
  <c r="B27" i="4"/>
  <c r="C26" i="4"/>
  <c r="D26" i="4"/>
  <c r="E26" i="4"/>
  <c r="F26" i="4"/>
  <c r="B26" i="4"/>
  <c r="F25" i="4"/>
  <c r="E25" i="4"/>
  <c r="D25" i="4"/>
  <c r="C25" i="4"/>
  <c r="B25" i="4"/>
  <c r="B22" i="4"/>
  <c r="C22" i="4"/>
  <c r="K11" i="4"/>
  <c r="J11" i="4"/>
  <c r="B12" i="4"/>
  <c r="K12" i="4"/>
  <c r="K10" i="4"/>
  <c r="C11" i="4"/>
  <c r="F10" i="4"/>
  <c r="K9" i="4"/>
  <c r="J9" i="4"/>
  <c r="J12" i="4"/>
  <c r="J10" i="4"/>
  <c r="K7" i="4"/>
  <c r="C13" i="4"/>
  <c r="B13" i="4"/>
  <c r="C12" i="4"/>
  <c r="G3" i="4"/>
  <c r="D10" i="4"/>
  <c r="B8" i="4"/>
  <c r="J7" i="4"/>
  <c r="J6" i="4"/>
  <c r="B7" i="4"/>
  <c r="C10" i="4" s="1"/>
  <c r="F3" i="4"/>
  <c r="F2" i="4"/>
  <c r="E2" i="4"/>
  <c r="B9" i="4" l="1"/>
  <c r="B10" i="4" s="1"/>
  <c r="B11" i="4" l="1"/>
  <c r="J8" i="4"/>
  <c r="O12" i="4"/>
  <c r="O13" i="4" l="1"/>
  <c r="O14" i="4"/>
  <c r="O15" i="4"/>
  <c r="O16" i="4"/>
  <c r="O17" i="4"/>
  <c r="O18" i="4"/>
  <c r="O19" i="4"/>
  <c r="O20" i="4"/>
  <c r="O21" i="4"/>
  <c r="C18" i="4"/>
  <c r="D18" i="4"/>
  <c r="E18" i="4"/>
  <c r="F18" i="4"/>
  <c r="G18" i="4"/>
  <c r="H18" i="4"/>
  <c r="I18" i="4"/>
  <c r="J18" i="4"/>
  <c r="K18" i="4"/>
  <c r="B18" i="4"/>
  <c r="C2" i="4"/>
  <c r="B2" i="4"/>
</calcChain>
</file>

<file path=xl/sharedStrings.xml><?xml version="1.0" encoding="utf-8"?>
<sst xmlns="http://schemas.openxmlformats.org/spreadsheetml/2006/main" count="49" uniqueCount="32">
  <si>
    <t>m_12</t>
  </si>
  <si>
    <t>m_0</t>
  </si>
  <si>
    <t>r</t>
  </si>
  <si>
    <t>мм</t>
  </si>
  <si>
    <t>г</t>
  </si>
  <si>
    <t>d</t>
  </si>
  <si>
    <t>h_Л</t>
  </si>
  <si>
    <t>см</t>
  </si>
  <si>
    <t>h_T</t>
  </si>
  <si>
    <t>rmax</t>
  </si>
  <si>
    <t>Ft</t>
  </si>
  <si>
    <t>Pm</t>
  </si>
  <si>
    <t>pm</t>
  </si>
  <si>
    <t>V</t>
  </si>
  <si>
    <t>Bp</t>
  </si>
  <si>
    <t>мТ</t>
  </si>
  <si>
    <t>m1</t>
  </si>
  <si>
    <t>m2</t>
  </si>
  <si>
    <t>m3</t>
  </si>
  <si>
    <t>m</t>
  </si>
  <si>
    <t>F</t>
  </si>
  <si>
    <t>F0</t>
  </si>
  <si>
    <t>T_10</t>
  </si>
  <si>
    <t>T</t>
  </si>
  <si>
    <t>k</t>
  </si>
  <si>
    <t>B</t>
  </si>
  <si>
    <t>M</t>
  </si>
  <si>
    <t>g</t>
  </si>
  <si>
    <t>Br</t>
  </si>
  <si>
    <t>n</t>
  </si>
  <si>
    <t>A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</si>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</sst>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0"/>
            <c:dispEq val="1"/>
            <c:trendlineLbl>
              <c:layout>
                <c:manualLayout>
                  <c:x val="-0.3876054446682537"/>
                  <c:y val="1.5704500352090135E-2"/>
                </c:manualLayout>
              </c:layout>
              <c:numFmt formatCode="General" sourceLinked="0"/>
            </c:trendlineLbl>
          </c:trendline>
          <c:xVal>
            <c:numRef>
              <c:f>Лист1!$N$12:$N$21</c:f>
              <c:numCache>
                <c:formatCode>General</c:formatCode>
                <c:ptCount val="10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</c:numCache>
            </c:numRef>
          </c:xVal>
          <c:yVal>
            <c:numRef>
              <c:f>Лист1!$O$12:$O$21</c:f>
              <c:numCache>
                <c:formatCode>General</c:formatCode>
                <c:ptCount val="10"/>
                <c:pt idx="0">
                  <c:v>3.2829999999999999</c:v>
                </c:pt>
                <c:pt idx="1">
                  <c:v>2.9379999999999997</c:v>
                </c:pt>
                <c:pt idx="2">
                  <c:v>2.601</c:v>
                </c:pt>
                <c:pt idx="3">
                  <c:v>2.4850000000000003</c:v>
                </c:pt>
                <c:pt idx="4">
                  <c:v>2.0710000000000002</c:v>
                </c:pt>
                <c:pt idx="5">
                  <c:v>1.786</c:v>
                </c:pt>
                <c:pt idx="6">
                  <c:v>1.6309999999999998</c:v>
                </c:pt>
                <c:pt idx="7">
                  <c:v>1.347</c:v>
                </c:pt>
                <c:pt idx="8">
                  <c:v>1.018</c:v>
                </c:pt>
                <c:pt idx="9">
                  <c:v>0.79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10592"/>
        <c:axId val="188512128"/>
      </c:scatterChart>
      <c:valAx>
        <c:axId val="18851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512128"/>
        <c:crosses val="autoZero"/>
        <c:crossBetween val="midCat"/>
      </c:valAx>
      <c:valAx>
        <c:axId val="1885121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885105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backward val="4"/>
            <c:intercept val="0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Лист1!$B$24:$F$24</c:f>
              <c:numCache>
                <c:formatCode>General</c:formatCode>
                <c:ptCount val="5"/>
                <c:pt idx="0">
                  <c:v>12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</c:numCache>
            </c:numRef>
          </c:xVal>
          <c:yVal>
            <c:numRef>
              <c:f>Лист1!$B$26:$F$26</c:f>
              <c:numCache>
                <c:formatCode>General</c:formatCode>
                <c:ptCount val="5"/>
                <c:pt idx="0">
                  <c:v>500.97600000000006</c:v>
                </c:pt>
                <c:pt idx="1">
                  <c:v>432.18000000000012</c:v>
                </c:pt>
                <c:pt idx="2">
                  <c:v>379.26000000000005</c:v>
                </c:pt>
                <c:pt idx="3">
                  <c:v>308.7000000000001</c:v>
                </c:pt>
                <c:pt idx="4">
                  <c:v>181.10400000000001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208448"/>
        <c:axId val="189209984"/>
      </c:scatterChart>
      <c:valAx>
        <c:axId val="18920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209984"/>
        <c:crosses val="autoZero"/>
        <c:crossBetween val="midCat"/>
      </c:valAx>
      <c:valAx>
        <c:axId val="18920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2084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274320</xdr:colOff>
      <xdr:row>10</xdr:row>
      <xdr:rowOff>22860</xdr:rowOff>
    </xdr:from>
    <xdr:to>
      <xdr:col>21</xdr:col>
      <xdr:colOff>502920</xdr:colOff>
      <xdr:row>22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60960</xdr:colOff>
      <xdr:row>23</xdr:row>
      <xdr:rowOff>80010</xdr:rowOff>
    </xdr:from>
    <xdr:to>
      <xdr:col>14</xdr:col>
      <xdr:colOff>220980</xdr:colOff>
      <xdr:row>38</xdr:row>
      <xdr:rowOff>80010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A13" workbookViewId="0">
      <selection activeCell="F29" sqref="F29"/>
    </sheetView>
  </sheetViews>
  <sheetFormatPr defaultRowHeight="14.4" x14ac:dyDescent="0.3"/>
  <cols>
    <col min="2" max="2" width="12" bestFit="1" customWidth="1"/>
    <col min="3" max="3" width="16" customWidth="1"/>
    <col min="6" max="6" width="12" bestFit="1" customWidth="1"/>
    <col min="10" max="10" width="11" bestFit="1" customWidth="1"/>
  </cols>
  <sheetData>
    <row r="1" spans="1:16" x14ac:dyDescent="0.3">
      <c r="A1" t="s">
        <v>0</v>
      </c>
      <c r="B1">
        <v>10.199</v>
      </c>
      <c r="C1">
        <v>1E-3</v>
      </c>
      <c r="D1" t="s">
        <v>4</v>
      </c>
    </row>
    <row r="2" spans="1:16" x14ac:dyDescent="0.3">
      <c r="A2" t="s">
        <v>1</v>
      </c>
      <c r="B2">
        <f>B1/12</f>
        <v>0.84991666666666665</v>
      </c>
      <c r="C2">
        <f>C1/12</f>
        <v>8.3333333333333331E-5</v>
      </c>
      <c r="D2" t="s">
        <v>4</v>
      </c>
      <c r="E2">
        <f>B2*10^5</f>
        <v>84991.666666666672</v>
      </c>
      <c r="F2">
        <f>C2*10^5</f>
        <v>8.3333333333333339</v>
      </c>
      <c r="I2" t="s">
        <v>16</v>
      </c>
      <c r="J2">
        <v>18.722000000000001</v>
      </c>
      <c r="K2" t="s">
        <v>4</v>
      </c>
    </row>
    <row r="3" spans="1:16" x14ac:dyDescent="0.3">
      <c r="A3" t="s">
        <v>2</v>
      </c>
      <c r="B3">
        <v>3</v>
      </c>
      <c r="D3" t="s">
        <v>3</v>
      </c>
      <c r="E3" t="s">
        <v>13</v>
      </c>
      <c r="F3">
        <f>(4*PI()*(B3*0.1)^3)/3</f>
        <v>0.11309733552923258</v>
      </c>
      <c r="G3">
        <f>F3*0.1/B3</f>
        <v>3.7699111843077526E-3</v>
      </c>
      <c r="I3" t="s">
        <v>17</v>
      </c>
      <c r="J3">
        <v>154.607</v>
      </c>
      <c r="K3" t="s">
        <v>4</v>
      </c>
    </row>
    <row r="4" spans="1:16" x14ac:dyDescent="0.3">
      <c r="A4" t="s">
        <v>5</v>
      </c>
      <c r="B4">
        <v>6</v>
      </c>
      <c r="I4" t="s">
        <v>18</v>
      </c>
      <c r="J4">
        <v>201.702</v>
      </c>
      <c r="K4" t="s">
        <v>4</v>
      </c>
    </row>
    <row r="5" spans="1:16" x14ac:dyDescent="0.3">
      <c r="A5" t="s">
        <v>6</v>
      </c>
      <c r="B5">
        <v>1.52</v>
      </c>
      <c r="C5">
        <v>0.01</v>
      </c>
      <c r="D5" t="s">
        <v>7</v>
      </c>
    </row>
    <row r="6" spans="1:16" x14ac:dyDescent="0.3">
      <c r="A6" t="s">
        <v>8</v>
      </c>
      <c r="B6">
        <v>0.26</v>
      </c>
      <c r="C6">
        <v>0.01</v>
      </c>
      <c r="D6" t="s">
        <v>7</v>
      </c>
      <c r="I6" t="s">
        <v>19</v>
      </c>
      <c r="J6">
        <f>J4+J3+J2</f>
        <v>375.03099999999995</v>
      </c>
      <c r="K6" t="s">
        <v>4</v>
      </c>
    </row>
    <row r="7" spans="1:16" x14ac:dyDescent="0.3">
      <c r="A7" t="s">
        <v>9</v>
      </c>
      <c r="B7">
        <f>B6+B5</f>
        <v>1.78</v>
      </c>
      <c r="C7">
        <v>0.01</v>
      </c>
      <c r="D7" t="s">
        <v>7</v>
      </c>
      <c r="I7" t="s">
        <v>20</v>
      </c>
      <c r="J7">
        <f>J6*B8</f>
        <v>367530.38</v>
      </c>
      <c r="K7">
        <f>0.001*B8</f>
        <v>0.98000000000000009</v>
      </c>
    </row>
    <row r="8" spans="1:16" x14ac:dyDescent="0.3">
      <c r="A8" t="s">
        <v>27</v>
      </c>
      <c r="B8">
        <f>9.8*100</f>
        <v>980.00000000000011</v>
      </c>
      <c r="I8" t="s">
        <v>21</v>
      </c>
      <c r="J8">
        <f>J7/1.08</f>
        <v>340305.90740740742</v>
      </c>
    </row>
    <row r="9" spans="1:16" x14ac:dyDescent="0.3">
      <c r="A9" t="s">
        <v>10</v>
      </c>
      <c r="B9">
        <f>B2*B8</f>
        <v>832.91833333333341</v>
      </c>
      <c r="I9" t="s">
        <v>11</v>
      </c>
      <c r="J9">
        <f>SQRT((J6*B8*(B4*0.1)^4)/6.58)</f>
        <v>85.081703310981482</v>
      </c>
      <c r="K9">
        <f>J9*SQRT(0.5*(100/J7)^2+2*(0.1/B4)^2)</f>
        <v>2.0054617853693291</v>
      </c>
    </row>
    <row r="10" spans="1:16" x14ac:dyDescent="0.3">
      <c r="A10" t="s">
        <v>11</v>
      </c>
      <c r="B10">
        <f>SQRT(B9/6)*(B7)^2</f>
        <v>37.330653285941246</v>
      </c>
      <c r="C10">
        <f>SQRT(B2*B8*B7^4/6)</f>
        <v>37.330653285941246</v>
      </c>
      <c r="D10">
        <f>B10*SQRT(0.5*(C2/B2)^2+2*(C7/B7)^2)</f>
        <v>0.29660407989093196</v>
      </c>
      <c r="F10">
        <f>(J9+B10)/2</f>
        <v>61.206178298461367</v>
      </c>
      <c r="I10" t="s">
        <v>12</v>
      </c>
      <c r="J10">
        <f>J9/F3</f>
        <v>752.28742492337653</v>
      </c>
      <c r="K10">
        <f>J10*SQRT((K9/J9)^2 + (G3/F3)^2)</f>
        <v>30.712346560340585</v>
      </c>
    </row>
    <row r="11" spans="1:16" x14ac:dyDescent="0.3">
      <c r="A11" t="s">
        <v>12</v>
      </c>
      <c r="B11">
        <f>B10/F3</f>
        <v>330.07544440595854</v>
      </c>
      <c r="C11">
        <f>B11*SQRT((D10/C10)^2 + (G3/F3)^2)</f>
        <v>11.310752912771882</v>
      </c>
      <c r="I11" t="s">
        <v>14</v>
      </c>
      <c r="J11">
        <f>8*PI()*J10/3</f>
        <v>6302.3483934060341</v>
      </c>
      <c r="K11">
        <f>8*PI()*K10/3</f>
        <v>257.29515287591931</v>
      </c>
    </row>
    <row r="12" spans="1:16" x14ac:dyDescent="0.3">
      <c r="A12" t="s">
        <v>14</v>
      </c>
      <c r="B12">
        <f>8*PI()*B11/3</f>
        <v>2765.2335767363879</v>
      </c>
      <c r="C12">
        <f>8*PI()*C11/3</f>
        <v>94.756742019556</v>
      </c>
      <c r="I12" t="s">
        <v>28</v>
      </c>
      <c r="J12">
        <f>J10*4*PI()</f>
        <v>9453.5225901090507</v>
      </c>
      <c r="K12">
        <f>K10*4*PI()</f>
        <v>385.94272931387894</v>
      </c>
      <c r="L12">
        <v>12</v>
      </c>
      <c r="M12">
        <v>501</v>
      </c>
      <c r="N12">
        <v>12</v>
      </c>
      <c r="O12">
        <f>P12/10</f>
        <v>3.2829999999999999</v>
      </c>
      <c r="P12">
        <v>32.83</v>
      </c>
    </row>
    <row r="13" spans="1:16" x14ac:dyDescent="0.3">
      <c r="A13" t="s">
        <v>28</v>
      </c>
      <c r="B13">
        <f>4*PI()*B11</f>
        <v>4147.8503651045821</v>
      </c>
      <c r="C13">
        <f>4*PI()*C11</f>
        <v>142.13511302933401</v>
      </c>
      <c r="L13">
        <v>10</v>
      </c>
      <c r="M13">
        <v>432</v>
      </c>
      <c r="N13">
        <v>11</v>
      </c>
      <c r="O13">
        <f t="shared" ref="O13:O21" si="0">P13/10</f>
        <v>2.9379999999999997</v>
      </c>
      <c r="P13">
        <v>29.38</v>
      </c>
    </row>
    <row r="14" spans="1:16" x14ac:dyDescent="0.3">
      <c r="A14" t="s">
        <v>14</v>
      </c>
      <c r="B14">
        <v>340</v>
      </c>
      <c r="C14">
        <v>1</v>
      </c>
      <c r="D14" t="s">
        <v>15</v>
      </c>
      <c r="L14">
        <v>8</v>
      </c>
      <c r="M14">
        <v>379</v>
      </c>
      <c r="N14">
        <v>10</v>
      </c>
      <c r="O14">
        <f t="shared" si="0"/>
        <v>2.601</v>
      </c>
      <c r="P14">
        <v>26.01</v>
      </c>
    </row>
    <row r="15" spans="1:16" x14ac:dyDescent="0.3">
      <c r="L15">
        <v>6</v>
      </c>
      <c r="M15">
        <v>309</v>
      </c>
      <c r="N15">
        <v>9</v>
      </c>
      <c r="O15">
        <f t="shared" si="0"/>
        <v>2.4850000000000003</v>
      </c>
      <c r="P15">
        <v>24.85</v>
      </c>
    </row>
    <row r="16" spans="1:16" x14ac:dyDescent="0.3">
      <c r="L16">
        <v>4</v>
      </c>
      <c r="M16">
        <v>181</v>
      </c>
      <c r="N16">
        <v>8</v>
      </c>
      <c r="O16">
        <f t="shared" si="0"/>
        <v>2.0710000000000002</v>
      </c>
      <c r="P16">
        <v>20.71</v>
      </c>
    </row>
    <row r="17" spans="1:16" x14ac:dyDescent="0.3">
      <c r="A17" t="s">
        <v>29</v>
      </c>
      <c r="B17">
        <v>12</v>
      </c>
      <c r="C17">
        <v>11</v>
      </c>
      <c r="D17">
        <v>10</v>
      </c>
      <c r="E17">
        <v>9</v>
      </c>
      <c r="F17">
        <v>8</v>
      </c>
      <c r="G17">
        <v>7</v>
      </c>
      <c r="H17">
        <v>6</v>
      </c>
      <c r="I17">
        <v>5</v>
      </c>
      <c r="J17">
        <v>4</v>
      </c>
      <c r="K17">
        <v>3</v>
      </c>
      <c r="N17">
        <v>7</v>
      </c>
      <c r="O17">
        <f t="shared" si="0"/>
        <v>1.786</v>
      </c>
      <c r="P17">
        <v>17.86</v>
      </c>
    </row>
    <row r="18" spans="1:16" x14ac:dyDescent="0.3">
      <c r="A18" t="s">
        <v>23</v>
      </c>
      <c r="B18">
        <f>B19/10</f>
        <v>3.2829999999999999</v>
      </c>
      <c r="C18">
        <f>C19/10</f>
        <v>2.9379999999999997</v>
      </c>
      <c r="D18">
        <f>D19/10</f>
        <v>2.601</v>
      </c>
      <c r="E18">
        <f>E19/10</f>
        <v>2.4850000000000003</v>
      </c>
      <c r="F18">
        <f>F19/10</f>
        <v>2.0710000000000002</v>
      </c>
      <c r="G18">
        <f>G19/10</f>
        <v>1.786</v>
      </c>
      <c r="H18">
        <f>H19/10</f>
        <v>1.6309999999999998</v>
      </c>
      <c r="I18">
        <f>I19/10</f>
        <v>1.347</v>
      </c>
      <c r="J18">
        <f>J19/10</f>
        <v>1.018</v>
      </c>
      <c r="K18">
        <f>K19/10</f>
        <v>0.79</v>
      </c>
      <c r="N18">
        <v>6</v>
      </c>
      <c r="O18">
        <f t="shared" si="0"/>
        <v>1.6309999999999998</v>
      </c>
      <c r="P18">
        <v>16.309999999999999</v>
      </c>
    </row>
    <row r="19" spans="1:16" x14ac:dyDescent="0.3">
      <c r="A19" t="s">
        <v>22</v>
      </c>
      <c r="B19">
        <v>32.83</v>
      </c>
      <c r="C19">
        <v>29.38</v>
      </c>
      <c r="D19">
        <v>26.01</v>
      </c>
      <c r="E19">
        <v>24.85</v>
      </c>
      <c r="F19">
        <v>20.71</v>
      </c>
      <c r="G19">
        <v>17.86</v>
      </c>
      <c r="H19">
        <v>16.309999999999999</v>
      </c>
      <c r="I19">
        <v>13.47</v>
      </c>
      <c r="J19">
        <v>10.18</v>
      </c>
      <c r="K19">
        <v>7.9</v>
      </c>
      <c r="N19">
        <v>5</v>
      </c>
      <c r="O19">
        <f t="shared" si="0"/>
        <v>1.347</v>
      </c>
      <c r="P19">
        <v>13.47</v>
      </c>
    </row>
    <row r="20" spans="1:16" x14ac:dyDescent="0.3">
      <c r="N20">
        <v>4</v>
      </c>
      <c r="O20">
        <f t="shared" si="0"/>
        <v>1.018</v>
      </c>
      <c r="P20">
        <v>10.18</v>
      </c>
    </row>
    <row r="21" spans="1:16" x14ac:dyDescent="0.3">
      <c r="A21" t="s">
        <v>24</v>
      </c>
      <c r="B21">
        <v>0.26700000000000002</v>
      </c>
      <c r="C21">
        <v>2E-3</v>
      </c>
      <c r="F21">
        <v>0.1</v>
      </c>
      <c r="N21">
        <v>3</v>
      </c>
      <c r="O21">
        <f t="shared" si="0"/>
        <v>0.79</v>
      </c>
      <c r="P21">
        <v>7.9</v>
      </c>
    </row>
    <row r="22" spans="1:16" x14ac:dyDescent="0.3">
      <c r="A22" t="s">
        <v>25</v>
      </c>
      <c r="B22">
        <f>PI()*PI()*B2*(B3*0.2)^2/(3*B21*B21*J9)</f>
        <v>0.16595817053648659</v>
      </c>
      <c r="C22">
        <f>B22*SQRT(2*(C21/B21)^2 + (C2/B2)^2+2*(0.1/B4)^2 + (K9/J9)^2)</f>
        <v>5.8046868741813756E-3</v>
      </c>
    </row>
    <row r="24" spans="1:16" x14ac:dyDescent="0.3">
      <c r="B24">
        <v>12</v>
      </c>
      <c r="C24">
        <v>10</v>
      </c>
      <c r="D24">
        <v>8</v>
      </c>
      <c r="E24">
        <v>6</v>
      </c>
      <c r="F24">
        <v>4</v>
      </c>
    </row>
    <row r="25" spans="1:16" x14ac:dyDescent="0.3">
      <c r="A25" t="s">
        <v>19</v>
      </c>
      <c r="B25">
        <f>0.213*4</f>
        <v>0.85199999999999998</v>
      </c>
      <c r="C25">
        <f>B29*1+B30*2</f>
        <v>0.73499999999999999</v>
      </c>
      <c r="D25">
        <f>0.215*3</f>
        <v>0.64500000000000002</v>
      </c>
      <c r="E25">
        <f>(0.281+0.122*2)</f>
        <v>0.52500000000000002</v>
      </c>
      <c r="F25">
        <f>0.308</f>
        <v>0.308</v>
      </c>
    </row>
    <row r="26" spans="1:16" x14ac:dyDescent="0.3">
      <c r="A26" t="s">
        <v>26</v>
      </c>
      <c r="B26">
        <f>B25*$B$4*0.1*$B$8</f>
        <v>500.97600000000006</v>
      </c>
      <c r="C26">
        <f t="shared" ref="C26:F26" si="1">C25*$B$4*0.1*$B$8</f>
        <v>432.18000000000012</v>
      </c>
      <c r="D26">
        <f t="shared" si="1"/>
        <v>379.26000000000005</v>
      </c>
      <c r="E26">
        <f t="shared" si="1"/>
        <v>308.7000000000001</v>
      </c>
      <c r="F26">
        <f t="shared" si="1"/>
        <v>181.10400000000001</v>
      </c>
    </row>
    <row r="27" spans="1:16" x14ac:dyDescent="0.3">
      <c r="B27">
        <f>B26*SQRT((C2/B2)^2 + (0.1/B4)^2)</f>
        <v>8.3497444838263295</v>
      </c>
    </row>
    <row r="28" spans="1:16" x14ac:dyDescent="0.3">
      <c r="C28" t="s">
        <v>5</v>
      </c>
    </row>
    <row r="29" spans="1:16" x14ac:dyDescent="0.3">
      <c r="A29" t="s">
        <v>16</v>
      </c>
      <c r="B29">
        <v>0.121</v>
      </c>
      <c r="C29">
        <v>1</v>
      </c>
    </row>
    <row r="30" spans="1:16" x14ac:dyDescent="0.3">
      <c r="A30" t="s">
        <v>17</v>
      </c>
      <c r="B30">
        <v>0.307</v>
      </c>
      <c r="C30">
        <v>2</v>
      </c>
    </row>
    <row r="32" spans="1:16" x14ac:dyDescent="0.3">
      <c r="A32" t="s">
        <v>30</v>
      </c>
      <c r="B32">
        <v>44</v>
      </c>
      <c r="C32">
        <v>2</v>
      </c>
    </row>
    <row r="33" spans="1:3" x14ac:dyDescent="0.3">
      <c r="A33" t="s">
        <v>31</v>
      </c>
      <c r="B33">
        <f>B32/J9</f>
        <v>0.51714996629975707</v>
      </c>
      <c r="C33">
        <f>B33*SQRT((C32/B32)^2 + (K9/J9)^2)</f>
        <v>2.6479433099700186E-2</v>
      </c>
    </row>
    <row r="35" spans="1:3" x14ac:dyDescent="0.3">
      <c r="A35" t="s">
        <v>25</v>
      </c>
      <c r="B35">
        <f>SQRT(B33*B33+B22*B22)</f>
        <v>0.543126322333633</v>
      </c>
      <c r="C35">
        <f>SQRT(C33*C33+C22*C22)</f>
        <v>2.7108204790963035E-2</v>
      </c>
    </row>
    <row r="36" spans="1:3" x14ac:dyDescent="0.3">
      <c r="B36">
        <f>ATAN(B33/B22)</f>
        <v>1.2602688740752606</v>
      </c>
    </row>
    <row r="37" spans="1:3" x14ac:dyDescent="0.3">
      <c r="B37">
        <f>B36*180/PI()</f>
        <v>72.208087536216638</v>
      </c>
      <c r="C37">
        <f>B37*SQRT((C33/B33)^2 + (C22/B22)^2)</f>
        <v>4.4775333723809219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2019-10-14T19:01:03Z</dcterms:modified>
</cp:coreProperties>
</file>