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0\Desktop\tex\3_2_2_rezonans (1)\3.2.2 резонанс\"/>
    </mc:Choice>
  </mc:AlternateContent>
  <xr:revisionPtr revIDLastSave="0" documentId="13_ncr:1_{E202A303-4DF2-454A-BD43-D1AC12B4CA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N42" i="1"/>
  <c r="N44" i="1" s="1"/>
  <c r="N43" i="1"/>
  <c r="D89" i="1"/>
  <c r="D93" i="1" s="1"/>
  <c r="G88" i="1"/>
  <c r="G87" i="1"/>
  <c r="D85" i="1"/>
  <c r="D84" i="1"/>
  <c r="D62" i="1"/>
  <c r="D65" i="1"/>
  <c r="D67" i="1" s="1"/>
  <c r="D61" i="1"/>
  <c r="D63" i="1" s="1"/>
  <c r="D70" i="1" s="1"/>
  <c r="D71" i="1" s="1"/>
  <c r="D17" i="1"/>
  <c r="D29" i="1" s="1"/>
  <c r="D18" i="1"/>
  <c r="D30" i="1" s="1"/>
  <c r="D19" i="1"/>
  <c r="D31" i="1" s="1"/>
  <c r="D20" i="1"/>
  <c r="D32" i="1" s="1"/>
  <c r="D21" i="1"/>
  <c r="D33" i="1" s="1"/>
  <c r="D22" i="1"/>
  <c r="D34" i="1" s="1"/>
  <c r="D23" i="1"/>
  <c r="D35" i="1" s="1"/>
  <c r="D16" i="1"/>
  <c r="D28" i="1" s="1"/>
  <c r="H17" i="1"/>
  <c r="H29" i="1" s="1"/>
  <c r="H18" i="1"/>
  <c r="H30" i="1" s="1"/>
  <c r="H19" i="1"/>
  <c r="H31" i="1" s="1"/>
  <c r="H20" i="1"/>
  <c r="H32" i="1" s="1"/>
  <c r="H21" i="1"/>
  <c r="H33" i="1" s="1"/>
  <c r="H22" i="1"/>
  <c r="H34" i="1" s="1"/>
  <c r="H23" i="1"/>
  <c r="H35" i="1" s="1"/>
  <c r="H16" i="1"/>
  <c r="H28" i="1" s="1"/>
  <c r="D90" i="1" l="1"/>
  <c r="D94" i="1" s="1"/>
  <c r="D66" i="1"/>
  <c r="D78" i="1"/>
  <c r="D79" i="1" s="1"/>
  <c r="D75" i="1"/>
  <c r="D72" i="1"/>
  <c r="D73" i="1" s="1"/>
  <c r="J32" i="1"/>
  <c r="J31" i="1"/>
  <c r="J35" i="1"/>
  <c r="J33" i="1"/>
  <c r="J29" i="1"/>
  <c r="J34" i="1"/>
  <c r="J30" i="1"/>
  <c r="J28" i="1"/>
  <c r="D76" i="1" l="1"/>
  <c r="D81" i="1"/>
  <c r="D82" i="1" s="1"/>
  <c r="K34" i="1"/>
  <c r="F56" i="1" s="1"/>
  <c r="E56" i="1"/>
  <c r="K33" i="1"/>
  <c r="F55" i="1" s="1"/>
  <c r="E55" i="1"/>
  <c r="K29" i="1"/>
  <c r="F51" i="1" s="1"/>
  <c r="E51" i="1"/>
  <c r="K31" i="1"/>
  <c r="F53" i="1" s="1"/>
  <c r="E53" i="1"/>
  <c r="K35" i="1"/>
  <c r="F57" i="1" s="1"/>
  <c r="E57" i="1"/>
  <c r="K32" i="1"/>
  <c r="F54" i="1" s="1"/>
  <c r="E54" i="1"/>
  <c r="K28" i="1"/>
  <c r="F50" i="1" s="1"/>
  <c r="E50" i="1"/>
  <c r="K30" i="1"/>
  <c r="F52" i="1" s="1"/>
  <c r="E52" i="1"/>
  <c r="L32" i="1"/>
  <c r="L31" i="1"/>
  <c r="L30" i="1"/>
  <c r="L33" i="1"/>
  <c r="L35" i="1"/>
  <c r="L34" i="1"/>
  <c r="L29" i="1"/>
  <c r="L28" i="1"/>
  <c r="E39" i="1" l="1"/>
  <c r="M28" i="1"/>
  <c r="F39" i="1" s="1"/>
  <c r="M29" i="1"/>
  <c r="F40" i="1" s="1"/>
  <c r="E40" i="1"/>
  <c r="M32" i="1"/>
  <c r="F43" i="1" s="1"/>
  <c r="E43" i="1"/>
  <c r="M34" i="1"/>
  <c r="F45" i="1" s="1"/>
  <c r="E45" i="1"/>
  <c r="E42" i="1"/>
  <c r="M31" i="1"/>
  <c r="F42" i="1" s="1"/>
  <c r="M35" i="1"/>
  <c r="F46" i="1" s="1"/>
  <c r="E46" i="1"/>
  <c r="M33" i="1"/>
  <c r="F44" i="1" s="1"/>
  <c r="E44" i="1"/>
  <c r="E41" i="1"/>
  <c r="M30" i="1"/>
  <c r="F41" i="1" s="1"/>
</calcChain>
</file>

<file path=xl/sharedStrings.xml><?xml version="1.0" encoding="utf-8"?>
<sst xmlns="http://schemas.openxmlformats.org/spreadsheetml/2006/main" count="131" uniqueCount="81">
  <si>
    <t>$ x $, мм</t>
  </si>
  <si>
    <t>$ I $, дел</t>
  </si>
  <si>
    <t>$ U_R $, В</t>
  </si>
  <si>
    <t>$ U_L $, В</t>
  </si>
  <si>
    <t>$ U_{R+L} $, В</t>
  </si>
  <si>
    <t>$ P $, дел</t>
  </si>
  <si>
    <t>$ I $, А</t>
  </si>
  <si>
    <t>$ P_L $, Вт</t>
  </si>
  <si>
    <t>$ \sigma_I $, А</t>
  </si>
  <si>
    <t>$ \sigma_{P_L} $, Вт</t>
  </si>
  <si>
    <t>$\sigma _{U_L}$, В</t>
  </si>
  <si>
    <t>$ r_L $, Ом</t>
  </si>
  <si>
    <t>$ L $, Гн</t>
  </si>
  <si>
    <t>$\sigma_x$, мм</t>
  </si>
  <si>
    <t>$\sigma_L$, Гн</t>
  </si>
  <si>
    <t>$\sigma_{{r_L}}$, Ом</t>
  </si>
  <si>
    <t>sr</t>
  </si>
  <si>
    <t>$y_0$</t>
  </si>
  <si>
    <t>$A$</t>
  </si>
  <si>
    <t>$\sigma_{y_0}$</t>
  </si>
  <si>
    <t>$\sigma_A$</t>
  </si>
  <si>
    <t>Аппроксимация</t>
  </si>
  <si>
    <t>$r_L$</t>
  </si>
  <si>
    <t>$L$</t>
  </si>
  <si>
    <t>$R_0$</t>
  </si>
  <si>
    <t>$\sigma_{R_0}$</t>
  </si>
  <si>
    <t>l</t>
  </si>
  <si>
    <t>r</t>
  </si>
  <si>
    <t>sl</t>
  </si>
  <si>
    <t>Ul act</t>
  </si>
  <si>
    <t>Ul react</t>
  </si>
  <si>
    <t>L</t>
  </si>
  <si>
    <t>r_L</t>
  </si>
  <si>
    <t>cos xi</t>
  </si>
  <si>
    <t>cos t</t>
  </si>
  <si>
    <t>cos t ex</t>
  </si>
  <si>
    <t>График</t>
  </si>
  <si>
    <t>$ f(Q) $</t>
  </si>
  <si>
    <t>Вект. Диаграмма</t>
  </si>
  <si>
    <t>Мультиметр и LRC-метр</t>
  </si>
  <si>
    <t>$ f(I_{\text{рез}}, U_{\Sigma ,\text{ рез}}) $</t>
  </si>
  <si>
    <t>-</t>
  </si>
  <si>
    <t>sigma cos xi</t>
  </si>
  <si>
    <t>sigma Ul act</t>
  </si>
  <si>
    <t>U R</t>
  </si>
  <si>
    <t>U L</t>
  </si>
  <si>
    <t>U L+R</t>
  </si>
  <si>
    <t>s U R</t>
  </si>
  <si>
    <t>s U L</t>
  </si>
  <si>
    <t>s U L+R</t>
  </si>
  <si>
    <t>$ \chi^2$</t>
  </si>
  <si>
    <t>числ l</t>
  </si>
  <si>
    <t>числ rl</t>
  </si>
  <si>
    <t>sigma Ul react</t>
  </si>
  <si>
    <t>S_L</t>
  </si>
  <si>
    <t>s_I</t>
  </si>
  <si>
    <t>s cos t</t>
  </si>
  <si>
    <t>s cos t ex</t>
  </si>
  <si>
    <t>P_l</t>
  </si>
  <si>
    <t>s P_l</t>
  </si>
  <si>
    <t>S_r L</t>
  </si>
  <si>
    <t>Usum</t>
  </si>
  <si>
    <t>s_Usum</t>
  </si>
  <si>
    <t>R2</t>
  </si>
  <si>
    <t>s R2</t>
  </si>
  <si>
    <t>s I res</t>
  </si>
  <si>
    <t>I res</t>
  </si>
  <si>
    <t>s Q</t>
  </si>
  <si>
    <t>C</t>
  </si>
  <si>
    <t>s L</t>
  </si>
  <si>
    <t>Uc</t>
  </si>
  <si>
    <t>s_Uc</t>
  </si>
  <si>
    <t>x</t>
  </si>
  <si>
    <t>i</t>
  </si>
  <si>
    <t>ur</t>
  </si>
  <si>
    <t>ul</t>
  </si>
  <si>
    <t>url</t>
  </si>
  <si>
    <t>pl</t>
  </si>
  <si>
    <t>y0</t>
  </si>
  <si>
    <t>A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</si>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</sst>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165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0" fillId="0" borderId="1" xfId="0" quotePrefix="1" applyBorder="1"/>
    <xf numFmtId="166" fontId="0" fillId="0" borderId="0" xfId="0" applyNumberFormat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F94"/>
  <sheetViews>
    <sheetView tabSelected="1" topLeftCell="L1" zoomScaleNormal="100" workbookViewId="0">
      <selection activeCell="AA42" sqref="AA42"/>
    </sheetView>
  </sheetViews>
  <sheetFormatPr defaultRowHeight="14.4" x14ac:dyDescent="0.3"/>
  <cols>
    <col min="3" max="3" width="13.109375" customWidth="1"/>
    <col min="4" max="4" width="13" bestFit="1" customWidth="1"/>
    <col min="5" max="5" width="12.6640625" customWidth="1"/>
    <col min="6" max="6" width="11.109375" customWidth="1"/>
    <col min="7" max="7" width="17.21875" customWidth="1"/>
    <col min="8" max="8" width="15.33203125" customWidth="1"/>
    <col min="9" max="9" width="17.21875" customWidth="1"/>
    <col min="10" max="10" width="10.44140625" customWidth="1"/>
    <col min="11" max="11" width="18.44140625" customWidth="1"/>
    <col min="13" max="13" width="15.44140625" customWidth="1"/>
    <col min="14" max="14" width="15" customWidth="1"/>
  </cols>
  <sheetData>
    <row r="2" spans="3:28" x14ac:dyDescent="0.3"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W2" t="s">
        <v>72</v>
      </c>
      <c r="X2" t="s">
        <v>73</v>
      </c>
      <c r="Y2" t="s">
        <v>74</v>
      </c>
      <c r="Z2" t="s">
        <v>75</v>
      </c>
      <c r="AA2" t="s">
        <v>76</v>
      </c>
      <c r="AB2" t="s">
        <v>77</v>
      </c>
    </row>
    <row r="3" spans="3:28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P3">
        <v>5</v>
      </c>
      <c r="Q3">
        <v>21</v>
      </c>
      <c r="R3">
        <v>42</v>
      </c>
      <c r="S3">
        <v>123</v>
      </c>
      <c r="T3">
        <v>104</v>
      </c>
      <c r="U3">
        <v>62</v>
      </c>
      <c r="W3">
        <v>5</v>
      </c>
      <c r="X3">
        <v>0.52500000000000002</v>
      </c>
      <c r="Y3">
        <v>42</v>
      </c>
      <c r="Z3">
        <v>123</v>
      </c>
      <c r="AA3">
        <v>104</v>
      </c>
      <c r="AB3">
        <v>15.5</v>
      </c>
    </row>
    <row r="4" spans="3:28" x14ac:dyDescent="0.3">
      <c r="C4" s="1">
        <v>5</v>
      </c>
      <c r="D4" s="1">
        <v>20</v>
      </c>
      <c r="E4" s="1">
        <v>43</v>
      </c>
      <c r="F4" s="1">
        <v>104</v>
      </c>
      <c r="G4" s="1">
        <v>122</v>
      </c>
      <c r="H4" s="1">
        <v>62</v>
      </c>
      <c r="P4">
        <v>7</v>
      </c>
      <c r="Q4">
        <v>23.5</v>
      </c>
      <c r="R4">
        <v>49</v>
      </c>
      <c r="S4">
        <v>121</v>
      </c>
      <c r="T4">
        <v>100</v>
      </c>
      <c r="U4">
        <v>59</v>
      </c>
      <c r="W4">
        <v>7</v>
      </c>
      <c r="X4">
        <v>0.58750000000000002</v>
      </c>
      <c r="Y4">
        <v>49</v>
      </c>
      <c r="Z4">
        <v>121</v>
      </c>
      <c r="AA4">
        <v>100</v>
      </c>
      <c r="AB4">
        <v>14.75</v>
      </c>
    </row>
    <row r="5" spans="3:28" x14ac:dyDescent="0.3">
      <c r="C5" s="1">
        <v>7</v>
      </c>
      <c r="D5" s="1">
        <v>22</v>
      </c>
      <c r="E5" s="1">
        <v>50</v>
      </c>
      <c r="F5" s="1">
        <v>99</v>
      </c>
      <c r="G5" s="1">
        <v>120</v>
      </c>
      <c r="H5" s="1">
        <v>58</v>
      </c>
      <c r="P5">
        <v>9</v>
      </c>
      <c r="Q5">
        <v>26</v>
      </c>
      <c r="R5">
        <v>55</v>
      </c>
      <c r="S5">
        <v>120.5</v>
      </c>
      <c r="T5">
        <v>95</v>
      </c>
      <c r="U5">
        <v>57</v>
      </c>
      <c r="W5">
        <v>9</v>
      </c>
      <c r="X5">
        <v>0.65</v>
      </c>
      <c r="Y5">
        <v>55</v>
      </c>
      <c r="Z5">
        <v>120.5</v>
      </c>
      <c r="AA5">
        <v>95</v>
      </c>
      <c r="AB5">
        <v>14.25</v>
      </c>
    </row>
    <row r="6" spans="3:28" x14ac:dyDescent="0.3">
      <c r="C6" s="1">
        <v>9</v>
      </c>
      <c r="D6" s="1">
        <v>24</v>
      </c>
      <c r="E6" s="1">
        <v>55</v>
      </c>
      <c r="F6" s="1">
        <v>95</v>
      </c>
      <c r="G6" s="1">
        <v>119</v>
      </c>
      <c r="H6" s="1">
        <v>57</v>
      </c>
      <c r="P6">
        <v>11</v>
      </c>
      <c r="Q6">
        <v>27.5</v>
      </c>
      <c r="R6">
        <v>59</v>
      </c>
      <c r="S6">
        <v>119</v>
      </c>
      <c r="T6">
        <v>92</v>
      </c>
      <c r="U6">
        <v>56</v>
      </c>
      <c r="W6">
        <v>11</v>
      </c>
      <c r="X6">
        <v>0.6875</v>
      </c>
      <c r="Y6">
        <v>59</v>
      </c>
      <c r="Z6">
        <v>119</v>
      </c>
      <c r="AA6">
        <v>92</v>
      </c>
      <c r="AB6">
        <v>14</v>
      </c>
    </row>
    <row r="7" spans="3:28" x14ac:dyDescent="0.3">
      <c r="C7" s="1">
        <v>11</v>
      </c>
      <c r="D7" s="1">
        <v>26</v>
      </c>
      <c r="E7" s="1">
        <v>60</v>
      </c>
      <c r="F7" s="1">
        <v>92</v>
      </c>
      <c r="G7" s="1">
        <v>118</v>
      </c>
      <c r="H7" s="1">
        <v>54</v>
      </c>
      <c r="P7">
        <v>13</v>
      </c>
      <c r="Q7">
        <v>29</v>
      </c>
      <c r="R7">
        <v>62</v>
      </c>
      <c r="S7">
        <v>118</v>
      </c>
      <c r="T7">
        <v>88</v>
      </c>
      <c r="U7">
        <v>53</v>
      </c>
      <c r="W7">
        <v>13</v>
      </c>
      <c r="X7">
        <v>0.72499999999999998</v>
      </c>
      <c r="Y7">
        <v>62</v>
      </c>
      <c r="Z7">
        <v>118</v>
      </c>
      <c r="AA7">
        <v>88</v>
      </c>
      <c r="AB7">
        <v>13.25</v>
      </c>
    </row>
    <row r="8" spans="3:28" x14ac:dyDescent="0.3">
      <c r="C8" s="1">
        <v>13</v>
      </c>
      <c r="D8" s="1">
        <v>28</v>
      </c>
      <c r="E8" s="1">
        <v>63</v>
      </c>
      <c r="F8" s="1">
        <v>88</v>
      </c>
      <c r="G8" s="1">
        <v>118</v>
      </c>
      <c r="H8" s="1">
        <v>53</v>
      </c>
      <c r="P8">
        <v>15</v>
      </c>
      <c r="Q8">
        <v>30</v>
      </c>
      <c r="R8">
        <v>65</v>
      </c>
      <c r="S8">
        <v>117</v>
      </c>
      <c r="T8">
        <v>86</v>
      </c>
      <c r="U8">
        <v>52</v>
      </c>
      <c r="W8">
        <v>15</v>
      </c>
      <c r="X8">
        <v>0.75</v>
      </c>
      <c r="Y8">
        <v>65</v>
      </c>
      <c r="Z8">
        <v>117</v>
      </c>
      <c r="AA8">
        <v>86</v>
      </c>
      <c r="AB8">
        <v>13</v>
      </c>
    </row>
    <row r="9" spans="3:28" x14ac:dyDescent="0.3">
      <c r="C9" s="1">
        <v>15</v>
      </c>
      <c r="D9" s="1">
        <v>29</v>
      </c>
      <c r="E9" s="1">
        <v>66</v>
      </c>
      <c r="F9" s="1">
        <v>86</v>
      </c>
      <c r="G9" s="1">
        <v>117</v>
      </c>
      <c r="H9" s="1">
        <v>51</v>
      </c>
      <c r="P9">
        <v>17</v>
      </c>
      <c r="Q9">
        <v>31</v>
      </c>
      <c r="R9">
        <v>67</v>
      </c>
      <c r="S9">
        <v>116</v>
      </c>
      <c r="T9">
        <v>83</v>
      </c>
      <c r="U9">
        <v>51</v>
      </c>
      <c r="W9">
        <v>17</v>
      </c>
      <c r="X9">
        <v>0.77500000000000002</v>
      </c>
      <c r="Y9">
        <v>67</v>
      </c>
      <c r="Z9">
        <v>116</v>
      </c>
      <c r="AA9">
        <v>83</v>
      </c>
      <c r="AB9">
        <v>12.75</v>
      </c>
    </row>
    <row r="10" spans="3:28" x14ac:dyDescent="0.3">
      <c r="C10" s="1">
        <v>17</v>
      </c>
      <c r="D10" s="1">
        <v>30</v>
      </c>
      <c r="E10" s="1">
        <v>68</v>
      </c>
      <c r="F10" s="1">
        <v>83</v>
      </c>
      <c r="G10" s="1">
        <v>116</v>
      </c>
      <c r="H10" s="1">
        <v>50</v>
      </c>
      <c r="P10">
        <v>20</v>
      </c>
      <c r="Q10">
        <v>32</v>
      </c>
      <c r="R10">
        <v>70</v>
      </c>
      <c r="S10">
        <v>116</v>
      </c>
      <c r="T10">
        <v>80</v>
      </c>
      <c r="U10">
        <v>49</v>
      </c>
      <c r="W10">
        <v>20</v>
      </c>
      <c r="X10">
        <v>0.8</v>
      </c>
      <c r="Y10">
        <v>70</v>
      </c>
      <c r="Z10">
        <v>116</v>
      </c>
      <c r="AA10">
        <v>80</v>
      </c>
      <c r="AB10">
        <v>12.25</v>
      </c>
    </row>
    <row r="11" spans="3:28" x14ac:dyDescent="0.3">
      <c r="C11" s="1">
        <v>19</v>
      </c>
      <c r="D11" s="1">
        <v>31</v>
      </c>
      <c r="E11" s="1">
        <v>70</v>
      </c>
      <c r="F11" s="1">
        <v>81</v>
      </c>
      <c r="G11" s="1">
        <v>116</v>
      </c>
      <c r="H11" s="1">
        <v>49</v>
      </c>
      <c r="P11">
        <v>22</v>
      </c>
      <c r="Q11">
        <v>33</v>
      </c>
      <c r="R11">
        <v>72</v>
      </c>
      <c r="S11">
        <v>115</v>
      </c>
      <c r="T11">
        <v>77</v>
      </c>
      <c r="U11">
        <v>48</v>
      </c>
      <c r="W11">
        <v>22</v>
      </c>
      <c r="X11">
        <v>0.82499999999999996</v>
      </c>
      <c r="Y11">
        <v>72</v>
      </c>
      <c r="Z11">
        <v>115</v>
      </c>
      <c r="AA11">
        <v>77</v>
      </c>
      <c r="AB11">
        <v>12</v>
      </c>
    </row>
    <row r="12" spans="3:28" x14ac:dyDescent="0.3">
      <c r="P12">
        <v>24</v>
      </c>
      <c r="Q12">
        <v>34</v>
      </c>
      <c r="R12">
        <v>73</v>
      </c>
      <c r="S12">
        <v>114</v>
      </c>
      <c r="T12">
        <v>76</v>
      </c>
      <c r="U12">
        <v>47</v>
      </c>
      <c r="W12">
        <v>24</v>
      </c>
      <c r="X12">
        <v>0.85</v>
      </c>
      <c r="Y12">
        <v>73</v>
      </c>
      <c r="Z12">
        <v>114</v>
      </c>
      <c r="AA12">
        <v>76</v>
      </c>
      <c r="AB12">
        <v>11.75</v>
      </c>
    </row>
    <row r="13" spans="3:28" x14ac:dyDescent="0.3">
      <c r="P13">
        <v>26</v>
      </c>
      <c r="Q13">
        <v>35</v>
      </c>
      <c r="R13">
        <v>74</v>
      </c>
      <c r="S13">
        <v>114</v>
      </c>
      <c r="T13">
        <v>74</v>
      </c>
      <c r="U13">
        <v>47</v>
      </c>
      <c r="W13">
        <v>26</v>
      </c>
      <c r="X13">
        <v>0.875</v>
      </c>
      <c r="Y13">
        <v>74</v>
      </c>
      <c r="Z13">
        <v>114</v>
      </c>
      <c r="AA13">
        <v>74</v>
      </c>
      <c r="AB13">
        <v>11.75</v>
      </c>
    </row>
    <row r="14" spans="3:28" x14ac:dyDescent="0.3">
      <c r="P14">
        <v>28</v>
      </c>
      <c r="Q14">
        <v>35</v>
      </c>
      <c r="R14">
        <v>76</v>
      </c>
      <c r="S14">
        <v>114</v>
      </c>
      <c r="T14">
        <v>72</v>
      </c>
      <c r="U14">
        <v>46</v>
      </c>
      <c r="W14">
        <v>28</v>
      </c>
      <c r="X14">
        <v>0.875</v>
      </c>
      <c r="Y14">
        <v>76</v>
      </c>
      <c r="Z14">
        <v>114</v>
      </c>
      <c r="AA14">
        <v>72</v>
      </c>
      <c r="AB14">
        <v>11.5</v>
      </c>
    </row>
    <row r="15" spans="3:28" x14ac:dyDescent="0.3">
      <c r="C15" s="1" t="s">
        <v>0</v>
      </c>
      <c r="D15" s="1" t="s">
        <v>6</v>
      </c>
      <c r="E15" s="1" t="s">
        <v>2</v>
      </c>
      <c r="F15" s="1" t="s">
        <v>3</v>
      </c>
      <c r="G15" s="1" t="s">
        <v>4</v>
      </c>
      <c r="H15" s="1" t="s">
        <v>7</v>
      </c>
      <c r="P15">
        <v>30</v>
      </c>
      <c r="Q15">
        <v>36</v>
      </c>
      <c r="R15">
        <v>77</v>
      </c>
      <c r="S15">
        <v>113</v>
      </c>
      <c r="T15">
        <v>70</v>
      </c>
      <c r="U15">
        <v>45</v>
      </c>
      <c r="W15">
        <v>30</v>
      </c>
      <c r="X15">
        <v>0.9</v>
      </c>
      <c r="Y15">
        <v>77</v>
      </c>
      <c r="Z15">
        <v>113</v>
      </c>
      <c r="AA15">
        <v>70</v>
      </c>
      <c r="AB15">
        <v>11.25</v>
      </c>
    </row>
    <row r="16" spans="3:28" x14ac:dyDescent="0.3">
      <c r="C16" s="1">
        <v>5</v>
      </c>
      <c r="D16" s="3">
        <f t="shared" ref="D16:D23" si="0">D4/100*2.5</f>
        <v>0.5</v>
      </c>
      <c r="E16" s="1">
        <v>43</v>
      </c>
      <c r="F16" s="1">
        <v>104</v>
      </c>
      <c r="G16" s="1">
        <v>122</v>
      </c>
      <c r="H16" s="3">
        <f t="shared" ref="H16:H23" si="1">H4*0.25</f>
        <v>15.5</v>
      </c>
      <c r="P16">
        <v>32</v>
      </c>
      <c r="Q16">
        <v>36</v>
      </c>
      <c r="R16">
        <v>77</v>
      </c>
      <c r="S16">
        <v>113</v>
      </c>
      <c r="T16">
        <v>69</v>
      </c>
      <c r="U16">
        <v>45</v>
      </c>
      <c r="W16">
        <v>32</v>
      </c>
      <c r="X16">
        <v>0.9</v>
      </c>
      <c r="Y16">
        <v>77</v>
      </c>
      <c r="Z16">
        <v>113</v>
      </c>
      <c r="AA16">
        <v>69</v>
      </c>
      <c r="AB16">
        <v>11.25</v>
      </c>
    </row>
    <row r="17" spans="3:28" x14ac:dyDescent="0.3">
      <c r="C17" s="1">
        <v>7</v>
      </c>
      <c r="D17" s="3">
        <f t="shared" si="0"/>
        <v>0.55000000000000004</v>
      </c>
      <c r="E17" s="1">
        <v>50</v>
      </c>
      <c r="F17" s="1">
        <v>99</v>
      </c>
      <c r="G17" s="1">
        <v>120</v>
      </c>
      <c r="H17" s="3">
        <f t="shared" si="1"/>
        <v>14.5</v>
      </c>
      <c r="P17">
        <v>34</v>
      </c>
      <c r="Q17">
        <v>36</v>
      </c>
      <c r="R17">
        <v>78</v>
      </c>
      <c r="S17">
        <v>112</v>
      </c>
      <c r="T17">
        <v>67</v>
      </c>
      <c r="U17">
        <v>45</v>
      </c>
      <c r="W17">
        <v>34</v>
      </c>
      <c r="X17">
        <v>0.9</v>
      </c>
      <c r="Y17">
        <v>78</v>
      </c>
      <c r="Z17">
        <v>112</v>
      </c>
      <c r="AA17">
        <v>67</v>
      </c>
      <c r="AB17">
        <v>11.25</v>
      </c>
    </row>
    <row r="18" spans="3:28" x14ac:dyDescent="0.3">
      <c r="C18" s="1">
        <v>9</v>
      </c>
      <c r="D18" s="3">
        <f t="shared" si="0"/>
        <v>0.6</v>
      </c>
      <c r="E18" s="1">
        <v>55</v>
      </c>
      <c r="F18" s="1">
        <v>95</v>
      </c>
      <c r="G18" s="1">
        <v>119</v>
      </c>
      <c r="H18" s="3">
        <f t="shared" si="1"/>
        <v>14.25</v>
      </c>
      <c r="P18">
        <v>36</v>
      </c>
      <c r="Q18">
        <v>36</v>
      </c>
      <c r="R18">
        <v>79</v>
      </c>
      <c r="S18">
        <v>112</v>
      </c>
      <c r="T18">
        <v>66</v>
      </c>
      <c r="U18">
        <v>44</v>
      </c>
      <c r="W18">
        <v>36</v>
      </c>
      <c r="X18">
        <v>0.9</v>
      </c>
      <c r="Y18">
        <v>79</v>
      </c>
      <c r="Z18">
        <v>112</v>
      </c>
      <c r="AA18">
        <v>66</v>
      </c>
      <c r="AB18">
        <v>11</v>
      </c>
    </row>
    <row r="19" spans="3:28" x14ac:dyDescent="0.3">
      <c r="C19" s="1">
        <v>11</v>
      </c>
      <c r="D19" s="3">
        <f t="shared" si="0"/>
        <v>0.65</v>
      </c>
      <c r="E19" s="1">
        <v>60</v>
      </c>
      <c r="F19" s="1">
        <v>92</v>
      </c>
      <c r="G19" s="1">
        <v>118</v>
      </c>
      <c r="H19" s="3">
        <f t="shared" si="1"/>
        <v>13.5</v>
      </c>
      <c r="P19">
        <v>38</v>
      </c>
      <c r="Q19">
        <v>37</v>
      </c>
      <c r="R19">
        <v>80</v>
      </c>
      <c r="S19">
        <v>112</v>
      </c>
      <c r="T19">
        <v>65</v>
      </c>
      <c r="U19">
        <v>44</v>
      </c>
      <c r="W19">
        <v>38</v>
      </c>
      <c r="X19">
        <v>0.92500000000000004</v>
      </c>
      <c r="Y19">
        <v>80</v>
      </c>
      <c r="Z19">
        <v>112</v>
      </c>
      <c r="AA19">
        <v>65</v>
      </c>
      <c r="AB19">
        <v>11</v>
      </c>
    </row>
    <row r="20" spans="3:28" x14ac:dyDescent="0.3">
      <c r="C20" s="1">
        <v>13</v>
      </c>
      <c r="D20" s="3">
        <f t="shared" si="0"/>
        <v>0.70000000000000007</v>
      </c>
      <c r="E20" s="1">
        <v>63</v>
      </c>
      <c r="F20" s="1">
        <v>88</v>
      </c>
      <c r="G20" s="1">
        <v>118</v>
      </c>
      <c r="H20" s="3">
        <f t="shared" si="1"/>
        <v>13.25</v>
      </c>
      <c r="P20">
        <v>40</v>
      </c>
      <c r="Q20">
        <v>37</v>
      </c>
      <c r="R20">
        <v>81</v>
      </c>
      <c r="S20">
        <v>112</v>
      </c>
      <c r="T20">
        <v>64</v>
      </c>
      <c r="U20">
        <v>44</v>
      </c>
      <c r="W20">
        <v>40</v>
      </c>
      <c r="X20">
        <v>0.92500000000000004</v>
      </c>
      <c r="Y20">
        <v>81</v>
      </c>
      <c r="Z20">
        <v>112</v>
      </c>
      <c r="AA20">
        <v>64</v>
      </c>
      <c r="AB20">
        <v>11</v>
      </c>
    </row>
    <row r="21" spans="3:28" x14ac:dyDescent="0.3">
      <c r="C21" s="1">
        <v>15</v>
      </c>
      <c r="D21" s="3">
        <f t="shared" si="0"/>
        <v>0.72499999999999998</v>
      </c>
      <c r="E21" s="1">
        <v>66</v>
      </c>
      <c r="F21" s="1">
        <v>86</v>
      </c>
      <c r="G21" s="1">
        <v>117</v>
      </c>
      <c r="H21" s="3">
        <f t="shared" si="1"/>
        <v>12.75</v>
      </c>
    </row>
    <row r="22" spans="3:28" x14ac:dyDescent="0.3">
      <c r="C22" s="1">
        <v>17</v>
      </c>
      <c r="D22" s="3">
        <f t="shared" si="0"/>
        <v>0.75</v>
      </c>
      <c r="E22" s="1">
        <v>68</v>
      </c>
      <c r="F22" s="1">
        <v>83</v>
      </c>
      <c r="G22" s="1">
        <v>116</v>
      </c>
      <c r="H22" s="3">
        <f t="shared" si="1"/>
        <v>12.5</v>
      </c>
    </row>
    <row r="23" spans="3:28" x14ac:dyDescent="0.3">
      <c r="C23" s="1">
        <v>19</v>
      </c>
      <c r="D23" s="3">
        <f t="shared" si="0"/>
        <v>0.77500000000000002</v>
      </c>
      <c r="E23" s="1">
        <v>70</v>
      </c>
      <c r="F23" s="1">
        <v>81</v>
      </c>
      <c r="G23" s="1">
        <v>116</v>
      </c>
      <c r="H23" s="3">
        <f t="shared" si="1"/>
        <v>12.25</v>
      </c>
      <c r="P23" t="s">
        <v>0</v>
      </c>
      <c r="Q23" t="s">
        <v>6</v>
      </c>
      <c r="R23" t="s">
        <v>8</v>
      </c>
      <c r="S23" t="s">
        <v>3</v>
      </c>
      <c r="T23" t="s">
        <v>10</v>
      </c>
      <c r="U23" t="s">
        <v>7</v>
      </c>
      <c r="V23" t="s">
        <v>9</v>
      </c>
      <c r="W23" t="s">
        <v>11</v>
      </c>
      <c r="X23" t="s">
        <v>15</v>
      </c>
      <c r="Y23" t="s">
        <v>12</v>
      </c>
      <c r="Z23" t="s">
        <v>14</v>
      </c>
    </row>
    <row r="24" spans="3:28" x14ac:dyDescent="0.3">
      <c r="P24">
        <v>5</v>
      </c>
      <c r="Q24">
        <v>0.52500000000000002</v>
      </c>
      <c r="R24">
        <v>2.5000000000000001E-2</v>
      </c>
      <c r="S24">
        <v>123</v>
      </c>
      <c r="T24">
        <v>0.5</v>
      </c>
      <c r="U24">
        <v>15.5</v>
      </c>
      <c r="V24">
        <v>0.125</v>
      </c>
      <c r="W24">
        <v>56.235827664399089</v>
      </c>
      <c r="X24">
        <v>5.3749600431454301</v>
      </c>
      <c r="Y24">
        <v>0.72431982616042145</v>
      </c>
      <c r="Z24">
        <v>4.3957050089136349E-2</v>
      </c>
    </row>
    <row r="25" spans="3:28" x14ac:dyDescent="0.3">
      <c r="P25">
        <v>7</v>
      </c>
      <c r="Q25">
        <v>0.58750000000000002</v>
      </c>
      <c r="R25">
        <v>2.5000000000000001E-2</v>
      </c>
      <c r="S25">
        <v>121</v>
      </c>
      <c r="T25">
        <v>0.5</v>
      </c>
      <c r="U25">
        <v>14.75</v>
      </c>
      <c r="V25">
        <v>0.125</v>
      </c>
      <c r="W25">
        <v>42.734268899954721</v>
      </c>
      <c r="X25">
        <v>3.6549455925565062</v>
      </c>
      <c r="Y25">
        <v>0.64164073226223151</v>
      </c>
      <c r="Z25">
        <v>3.3771850110155877E-2</v>
      </c>
    </row>
    <row r="26" spans="3:28" x14ac:dyDescent="0.3">
      <c r="P26">
        <v>9</v>
      </c>
      <c r="Q26">
        <v>0.65</v>
      </c>
      <c r="R26">
        <v>2.5000000000000001E-2</v>
      </c>
      <c r="S26">
        <v>120.5</v>
      </c>
      <c r="T26">
        <v>0.5</v>
      </c>
      <c r="U26">
        <v>14.25</v>
      </c>
      <c r="V26">
        <v>0.125</v>
      </c>
      <c r="W26">
        <v>33.727810650887569</v>
      </c>
      <c r="X26">
        <v>2.6112615812330491</v>
      </c>
      <c r="Y26">
        <v>0.58054355286008552</v>
      </c>
      <c r="Z26">
        <v>2.7123002174698832E-2</v>
      </c>
    </row>
    <row r="27" spans="3:28" x14ac:dyDescent="0.3">
      <c r="C27" s="1" t="s">
        <v>0</v>
      </c>
      <c r="D27" s="1" t="s">
        <v>6</v>
      </c>
      <c r="E27" s="1" t="s">
        <v>8</v>
      </c>
      <c r="F27" s="1" t="s">
        <v>3</v>
      </c>
      <c r="G27" s="4" t="s">
        <v>10</v>
      </c>
      <c r="H27" s="1" t="s">
        <v>7</v>
      </c>
      <c r="I27" s="4" t="s">
        <v>9</v>
      </c>
      <c r="J27" s="4" t="s">
        <v>11</v>
      </c>
      <c r="K27" s="4" t="s">
        <v>15</v>
      </c>
      <c r="L27" s="4" t="s">
        <v>12</v>
      </c>
      <c r="M27" s="4" t="s">
        <v>14</v>
      </c>
      <c r="P27">
        <v>11</v>
      </c>
      <c r="Q27">
        <v>0.6875</v>
      </c>
      <c r="R27">
        <v>2.5000000000000001E-2</v>
      </c>
      <c r="S27">
        <v>119</v>
      </c>
      <c r="T27">
        <v>0.5</v>
      </c>
      <c r="U27">
        <v>14</v>
      </c>
      <c r="V27">
        <v>0.125</v>
      </c>
      <c r="W27">
        <v>29.619834710743802</v>
      </c>
      <c r="X27">
        <v>2.1703428514318035</v>
      </c>
      <c r="Y27">
        <v>0.5431138911002823</v>
      </c>
      <c r="Z27">
        <v>2.3896698000613063E-2</v>
      </c>
    </row>
    <row r="28" spans="3:28" x14ac:dyDescent="0.3">
      <c r="C28" s="1">
        <v>5</v>
      </c>
      <c r="D28" s="2">
        <f t="shared" ref="D28:D35" si="2">D16</f>
        <v>0.5</v>
      </c>
      <c r="E28" s="1">
        <v>2.5000000000000001E-2</v>
      </c>
      <c r="F28" s="1">
        <v>104</v>
      </c>
      <c r="G28" s="1">
        <v>0.5</v>
      </c>
      <c r="H28" s="2">
        <f t="shared" ref="H28:H35" si="3">H16</f>
        <v>15.5</v>
      </c>
      <c r="I28" s="1">
        <v>0.125</v>
      </c>
      <c r="J28" s="3">
        <f t="shared" ref="J28:J35" si="4">H28/D28^2</f>
        <v>62</v>
      </c>
      <c r="K28" s="3">
        <f>J28*SQRT((I28/H28)^2+4*(E28/D28)^2)</f>
        <v>6.2201286160335947</v>
      </c>
      <c r="L28" s="3">
        <f t="shared" ref="L28:L35" si="5">SQRT((F28/D28)^2-J28^2)/(50*2*3.14)</f>
        <v>0.63230797864105592</v>
      </c>
      <c r="M28" s="3">
        <f>L28*(F28*G28+F28^2*E28/D28+D28^2*J28*K28)/(F28^2-J28^2*D28^2)</f>
        <v>4.4220623287248878E-2</v>
      </c>
      <c r="P28">
        <v>13</v>
      </c>
      <c r="Q28">
        <v>0.72499999999999998</v>
      </c>
      <c r="R28">
        <v>2.5000000000000001E-2</v>
      </c>
      <c r="S28">
        <v>118</v>
      </c>
      <c r="T28">
        <v>0.5</v>
      </c>
      <c r="U28">
        <v>13.25</v>
      </c>
      <c r="V28">
        <v>0.125</v>
      </c>
      <c r="W28">
        <v>25.208085612366229</v>
      </c>
      <c r="X28">
        <v>1.7546787282949032</v>
      </c>
      <c r="Y28">
        <v>0.51208488805958308</v>
      </c>
      <c r="Z28">
        <v>2.1191335713486407E-2</v>
      </c>
    </row>
    <row r="29" spans="3:28" x14ac:dyDescent="0.3">
      <c r="C29" s="1">
        <v>7</v>
      </c>
      <c r="D29" s="2">
        <f t="shared" si="2"/>
        <v>0.55000000000000004</v>
      </c>
      <c r="E29" s="1">
        <v>2.5000000000000001E-2</v>
      </c>
      <c r="F29" s="1">
        <v>99</v>
      </c>
      <c r="G29" s="1">
        <v>0.5</v>
      </c>
      <c r="H29" s="2">
        <f t="shared" si="3"/>
        <v>14.5</v>
      </c>
      <c r="I29" s="1">
        <v>0.125</v>
      </c>
      <c r="J29" s="3">
        <f t="shared" si="4"/>
        <v>47.933884297520656</v>
      </c>
      <c r="K29" s="3">
        <f t="shared" ref="K29:K35" si="6">J29*SQRT((I29/H29)^2+4*(E29/D29)^2)</f>
        <v>4.3771744734303581</v>
      </c>
      <c r="L29" s="3">
        <f t="shared" si="5"/>
        <v>0.55254862181831965</v>
      </c>
      <c r="M29" s="3">
        <f t="shared" ref="M29:M35" si="7">L29*(F29*G29+F29^2*E29/D29+D29^2*J29*K29)/(F29^2-J29^2*D29^2)</f>
        <v>3.3887842423022542E-2</v>
      </c>
      <c r="P29">
        <v>15</v>
      </c>
      <c r="Q29">
        <v>0.75</v>
      </c>
      <c r="R29">
        <v>2.5000000000000001E-2</v>
      </c>
      <c r="S29">
        <v>117</v>
      </c>
      <c r="T29">
        <v>0.5</v>
      </c>
      <c r="U29">
        <v>13</v>
      </c>
      <c r="V29">
        <v>0.125</v>
      </c>
      <c r="W29">
        <v>23.111111111111111</v>
      </c>
      <c r="X29">
        <v>1.5566838941248504</v>
      </c>
      <c r="Y29">
        <v>0.49133301909877691</v>
      </c>
      <c r="Z29">
        <v>1.9634776112218075E-2</v>
      </c>
    </row>
    <row r="30" spans="3:28" x14ac:dyDescent="0.3">
      <c r="C30" s="1">
        <v>9</v>
      </c>
      <c r="D30" s="2">
        <f t="shared" si="2"/>
        <v>0.6</v>
      </c>
      <c r="E30" s="1">
        <v>2.5000000000000001E-2</v>
      </c>
      <c r="F30" s="1">
        <v>95</v>
      </c>
      <c r="G30" s="1">
        <v>0.5</v>
      </c>
      <c r="H30" s="2">
        <f t="shared" si="3"/>
        <v>14.25</v>
      </c>
      <c r="I30" s="1">
        <v>0.125</v>
      </c>
      <c r="J30" s="3">
        <f t="shared" si="4"/>
        <v>39.583333333333336</v>
      </c>
      <c r="K30" s="3">
        <f t="shared" si="6"/>
        <v>3.3168356205803478</v>
      </c>
      <c r="L30" s="3">
        <f t="shared" si="5"/>
        <v>0.48823436556489469</v>
      </c>
      <c r="M30" s="3">
        <f t="shared" si="7"/>
        <v>2.7167668959566436E-2</v>
      </c>
      <c r="P30">
        <v>17</v>
      </c>
      <c r="Q30">
        <v>0.77500000000000002</v>
      </c>
      <c r="R30">
        <v>2.5000000000000001E-2</v>
      </c>
      <c r="S30">
        <v>116</v>
      </c>
      <c r="T30">
        <v>0.5</v>
      </c>
      <c r="U30">
        <v>12.75</v>
      </c>
      <c r="V30">
        <v>0.125</v>
      </c>
      <c r="W30">
        <v>21.227887617065555</v>
      </c>
      <c r="X30">
        <v>1.3852636648708339</v>
      </c>
      <c r="Y30">
        <v>0.47186133161436966</v>
      </c>
      <c r="Z30">
        <v>1.8241486720640701E-2</v>
      </c>
    </row>
    <row r="31" spans="3:28" x14ac:dyDescent="0.3">
      <c r="C31" s="1">
        <v>11</v>
      </c>
      <c r="D31" s="2">
        <f t="shared" si="2"/>
        <v>0.65</v>
      </c>
      <c r="E31" s="1">
        <v>2.5000000000000001E-2</v>
      </c>
      <c r="F31" s="1">
        <v>92</v>
      </c>
      <c r="G31" s="1">
        <v>0.5</v>
      </c>
      <c r="H31" s="2">
        <f t="shared" si="3"/>
        <v>13.5</v>
      </c>
      <c r="I31" s="1">
        <v>0.125</v>
      </c>
      <c r="J31" s="3">
        <f t="shared" si="4"/>
        <v>31.952662721893489</v>
      </c>
      <c r="K31" s="3">
        <f t="shared" si="6"/>
        <v>2.4756393644640209</v>
      </c>
      <c r="L31" s="3">
        <f t="shared" si="5"/>
        <v>0.43912293597033097</v>
      </c>
      <c r="M31" s="3">
        <f t="shared" si="7"/>
        <v>2.2138060011216227E-2</v>
      </c>
      <c r="P31">
        <v>20</v>
      </c>
      <c r="Q31">
        <v>0.8</v>
      </c>
      <c r="R31">
        <v>2.5000000000000001E-2</v>
      </c>
      <c r="S31">
        <v>116</v>
      </c>
      <c r="T31">
        <v>0.5</v>
      </c>
      <c r="U31">
        <v>12.25</v>
      </c>
      <c r="V31">
        <v>0.125</v>
      </c>
      <c r="W31">
        <v>19.140624999999996</v>
      </c>
      <c r="X31">
        <v>1.2121280846978912</v>
      </c>
      <c r="Y31">
        <v>0.45774243830924954</v>
      </c>
      <c r="Z31">
        <v>1.7080218575078489E-2</v>
      </c>
    </row>
    <row r="32" spans="3:28" x14ac:dyDescent="0.3">
      <c r="C32" s="1">
        <v>13</v>
      </c>
      <c r="D32" s="2">
        <f t="shared" si="2"/>
        <v>0.70000000000000007</v>
      </c>
      <c r="E32" s="1">
        <v>2.5000000000000001E-2</v>
      </c>
      <c r="F32" s="1">
        <v>88</v>
      </c>
      <c r="G32" s="1">
        <v>0.5</v>
      </c>
      <c r="H32" s="2">
        <f t="shared" si="3"/>
        <v>13.25</v>
      </c>
      <c r="I32" s="1">
        <v>0.125</v>
      </c>
      <c r="J32" s="3">
        <f t="shared" si="4"/>
        <v>27.040816326530607</v>
      </c>
      <c r="K32" s="3">
        <f t="shared" si="6"/>
        <v>1.9482604088372675</v>
      </c>
      <c r="L32" s="3">
        <f t="shared" si="5"/>
        <v>0.3909924879254088</v>
      </c>
      <c r="M32" s="3">
        <f t="shared" si="7"/>
        <v>1.8337342188795777E-2</v>
      </c>
      <c r="P32">
        <v>22</v>
      </c>
      <c r="Q32">
        <v>0.82499999999999996</v>
      </c>
      <c r="R32">
        <v>2.5000000000000001E-2</v>
      </c>
      <c r="S32">
        <v>115</v>
      </c>
      <c r="T32">
        <v>0.5</v>
      </c>
      <c r="U32">
        <v>12</v>
      </c>
      <c r="V32">
        <v>0.125</v>
      </c>
      <c r="W32">
        <v>17.630853994490359</v>
      </c>
      <c r="X32">
        <v>1.0842045643245162</v>
      </c>
      <c r="Y32">
        <v>0.44036448819315954</v>
      </c>
      <c r="Z32">
        <v>1.5947348932587067E-2</v>
      </c>
    </row>
    <row r="33" spans="3:32" x14ac:dyDescent="0.3">
      <c r="C33" s="1">
        <v>15</v>
      </c>
      <c r="D33" s="2">
        <f t="shared" si="2"/>
        <v>0.72499999999999998</v>
      </c>
      <c r="E33" s="1">
        <v>2.5000000000000001E-2</v>
      </c>
      <c r="F33" s="1">
        <v>86</v>
      </c>
      <c r="G33" s="1">
        <v>0.5</v>
      </c>
      <c r="H33" s="2">
        <f t="shared" si="3"/>
        <v>12.75</v>
      </c>
      <c r="I33" s="1">
        <v>0.125</v>
      </c>
      <c r="J33" s="3">
        <f t="shared" si="4"/>
        <v>24.256837098692031</v>
      </c>
      <c r="K33" s="3">
        <f t="shared" si="6"/>
        <v>1.6897040843777782</v>
      </c>
      <c r="L33" s="3">
        <f t="shared" si="5"/>
        <v>0.36978998544359892</v>
      </c>
      <c r="M33" s="3">
        <f t="shared" si="7"/>
        <v>1.6675801037844683E-2</v>
      </c>
      <c r="P33">
        <v>24</v>
      </c>
      <c r="Q33">
        <v>0.85</v>
      </c>
      <c r="R33">
        <v>2.5000000000000001E-2</v>
      </c>
      <c r="S33">
        <v>114</v>
      </c>
      <c r="T33">
        <v>0.5</v>
      </c>
      <c r="U33">
        <v>11.75</v>
      </c>
      <c r="V33">
        <v>0.125</v>
      </c>
      <c r="W33">
        <v>16.262975778546714</v>
      </c>
      <c r="X33">
        <v>0.97216431785786706</v>
      </c>
      <c r="Y33">
        <v>0.42397445635651276</v>
      </c>
      <c r="Z33">
        <v>1.4921430558130246E-2</v>
      </c>
    </row>
    <row r="34" spans="3:32" x14ac:dyDescent="0.3">
      <c r="C34" s="1">
        <v>17</v>
      </c>
      <c r="D34" s="2">
        <f t="shared" si="2"/>
        <v>0.75</v>
      </c>
      <c r="E34" s="1">
        <v>2.5000000000000001E-2</v>
      </c>
      <c r="F34" s="1">
        <v>83</v>
      </c>
      <c r="G34" s="1">
        <v>0.5</v>
      </c>
      <c r="H34" s="2">
        <f t="shared" si="3"/>
        <v>12.5</v>
      </c>
      <c r="I34" s="1">
        <v>0.125</v>
      </c>
      <c r="J34" s="3">
        <f t="shared" si="4"/>
        <v>22.222222222222221</v>
      </c>
      <c r="K34" s="3">
        <f t="shared" si="6"/>
        <v>1.4980554382338285</v>
      </c>
      <c r="L34" s="3">
        <f t="shared" si="5"/>
        <v>0.34526294146433267</v>
      </c>
      <c r="M34" s="3">
        <f t="shared" si="7"/>
        <v>1.513753080297651E-2</v>
      </c>
      <c r="P34">
        <v>26</v>
      </c>
      <c r="Q34">
        <v>0.875</v>
      </c>
      <c r="R34">
        <v>2.5000000000000001E-2</v>
      </c>
      <c r="S34">
        <v>114</v>
      </c>
      <c r="T34">
        <v>0.5</v>
      </c>
      <c r="U34">
        <v>11.75</v>
      </c>
      <c r="V34">
        <v>0.125</v>
      </c>
      <c r="W34">
        <v>15.346938775510203</v>
      </c>
      <c r="X34">
        <v>0.89203604774856327</v>
      </c>
      <c r="Y34">
        <v>0.41203396324479225</v>
      </c>
      <c r="Z34">
        <v>1.4107626538659131E-2</v>
      </c>
    </row>
    <row r="35" spans="3:32" x14ac:dyDescent="0.3">
      <c r="C35" s="1">
        <v>19</v>
      </c>
      <c r="D35" s="2">
        <f t="shared" si="2"/>
        <v>0.77500000000000002</v>
      </c>
      <c r="E35" s="1">
        <v>2.5000000000000001E-2</v>
      </c>
      <c r="F35" s="1">
        <v>81</v>
      </c>
      <c r="G35" s="1">
        <v>0.5</v>
      </c>
      <c r="H35" s="2">
        <f t="shared" si="3"/>
        <v>12.25</v>
      </c>
      <c r="I35" s="1">
        <v>0.125</v>
      </c>
      <c r="J35" s="3">
        <f t="shared" si="4"/>
        <v>20.39542143600416</v>
      </c>
      <c r="K35" s="3">
        <f t="shared" si="6"/>
        <v>1.3321901768464213</v>
      </c>
      <c r="L35" s="3">
        <f t="shared" si="5"/>
        <v>0.32645483868000508</v>
      </c>
      <c r="M35" s="3">
        <f t="shared" si="7"/>
        <v>1.3886763514124658E-2</v>
      </c>
      <c r="P35">
        <v>28</v>
      </c>
      <c r="Q35">
        <v>0.875</v>
      </c>
      <c r="R35">
        <v>2.5000000000000001E-2</v>
      </c>
      <c r="S35">
        <v>114</v>
      </c>
      <c r="T35">
        <v>0.5</v>
      </c>
      <c r="U35">
        <v>11.5</v>
      </c>
      <c r="V35">
        <v>0.125</v>
      </c>
      <c r="W35">
        <v>15.020408163265307</v>
      </c>
      <c r="X35">
        <v>0.87369901266144401</v>
      </c>
      <c r="Y35">
        <v>0.41215598693173289</v>
      </c>
      <c r="Z35">
        <v>1.4089504197186353E-2</v>
      </c>
    </row>
    <row r="36" spans="3:32" x14ac:dyDescent="0.3">
      <c r="P36">
        <v>30</v>
      </c>
      <c r="Q36">
        <v>0.9</v>
      </c>
      <c r="R36">
        <v>2.5000000000000001E-2</v>
      </c>
      <c r="S36">
        <v>113</v>
      </c>
      <c r="T36">
        <v>0.5</v>
      </c>
      <c r="U36">
        <v>11.25</v>
      </c>
      <c r="V36">
        <v>0.125</v>
      </c>
      <c r="W36">
        <v>13.888888888888888</v>
      </c>
      <c r="X36">
        <v>0.78688572740629392</v>
      </c>
      <c r="Y36">
        <v>0.39740445950852404</v>
      </c>
      <c r="Z36">
        <v>1.3234902363940816E-2</v>
      </c>
    </row>
    <row r="37" spans="3:32" x14ac:dyDescent="0.3">
      <c r="P37">
        <v>32</v>
      </c>
      <c r="Q37">
        <v>0.9</v>
      </c>
      <c r="R37">
        <v>2.5000000000000001E-2</v>
      </c>
      <c r="S37">
        <v>113</v>
      </c>
      <c r="T37">
        <v>0.5</v>
      </c>
      <c r="U37">
        <v>11.25</v>
      </c>
      <c r="V37">
        <v>0.125</v>
      </c>
      <c r="W37">
        <v>13.888888888888888</v>
      </c>
      <c r="X37">
        <v>0.78688572740629392</v>
      </c>
      <c r="Y37">
        <v>0.39740445950852404</v>
      </c>
      <c r="Z37">
        <v>1.3234902363940816E-2</v>
      </c>
    </row>
    <row r="38" spans="3:32" x14ac:dyDescent="0.3">
      <c r="C38" s="1" t="s">
        <v>0</v>
      </c>
      <c r="D38" s="1" t="s">
        <v>13</v>
      </c>
      <c r="E38" s="4" t="s">
        <v>12</v>
      </c>
      <c r="F38" s="4" t="s">
        <v>14</v>
      </c>
      <c r="H38" s="1"/>
      <c r="I38" s="11" t="s">
        <v>21</v>
      </c>
      <c r="J38" s="12"/>
      <c r="P38">
        <v>34</v>
      </c>
      <c r="Q38">
        <v>0.9</v>
      </c>
      <c r="R38">
        <v>2.5000000000000001E-2</v>
      </c>
      <c r="S38">
        <v>112</v>
      </c>
      <c r="T38">
        <v>0.5</v>
      </c>
      <c r="U38">
        <v>11.25</v>
      </c>
      <c r="V38">
        <v>0.125</v>
      </c>
      <c r="W38">
        <v>13.888888888888888</v>
      </c>
      <c r="X38">
        <v>0.78688572740629392</v>
      </c>
      <c r="Y38">
        <v>0.39384384126487115</v>
      </c>
      <c r="Z38">
        <v>1.3139952144280962E-2</v>
      </c>
    </row>
    <row r="39" spans="3:32" x14ac:dyDescent="0.3">
      <c r="C39" s="1">
        <v>5</v>
      </c>
      <c r="D39" s="1">
        <v>0.5</v>
      </c>
      <c r="E39" s="5">
        <f>L28</f>
        <v>0.63230797864105592</v>
      </c>
      <c r="F39" s="5">
        <f>M28</f>
        <v>4.4220623287248878E-2</v>
      </c>
      <c r="G39" s="7"/>
      <c r="H39" s="1"/>
      <c r="I39" s="1" t="s">
        <v>23</v>
      </c>
      <c r="J39" s="1" t="s">
        <v>22</v>
      </c>
      <c r="M39" t="s">
        <v>26</v>
      </c>
      <c r="N39" s="7">
        <f>(LN(19-I40)-LN(I41))/I42</f>
        <v>0.32412477471726292</v>
      </c>
      <c r="P39">
        <v>36</v>
      </c>
      <c r="Q39">
        <v>0.9</v>
      </c>
      <c r="R39">
        <v>2.5000000000000001E-2</v>
      </c>
      <c r="S39">
        <v>112</v>
      </c>
      <c r="T39">
        <v>0.5</v>
      </c>
      <c r="U39">
        <v>11</v>
      </c>
      <c r="V39">
        <v>0.125</v>
      </c>
      <c r="W39">
        <v>13.580246913580247</v>
      </c>
      <c r="X39">
        <v>0.77007927204683191</v>
      </c>
      <c r="Y39">
        <v>0.39395299194831757</v>
      </c>
      <c r="Z39">
        <v>1.3124182909807273E-2</v>
      </c>
    </row>
    <row r="40" spans="3:32" x14ac:dyDescent="0.3">
      <c r="C40" s="1">
        <v>7</v>
      </c>
      <c r="D40" s="1">
        <v>0.5</v>
      </c>
      <c r="E40" s="5">
        <f t="shared" ref="E40:E46" si="8">L29</f>
        <v>0.55254862181831965</v>
      </c>
      <c r="F40" s="5">
        <f t="shared" ref="F40:F46" si="9">M29</f>
        <v>3.3887842423022542E-2</v>
      </c>
      <c r="G40" s="7"/>
      <c r="H40" s="1" t="s">
        <v>17</v>
      </c>
      <c r="I40" s="2">
        <v>2.8166000000000002</v>
      </c>
      <c r="J40" s="2">
        <v>4.5663799999999997</v>
      </c>
      <c r="M40" t="s">
        <v>27</v>
      </c>
      <c r="N40" s="7">
        <f>(LN(19-J40)-LN(J41))/J42</f>
        <v>19.97520911401735</v>
      </c>
      <c r="P40">
        <v>38</v>
      </c>
      <c r="Q40">
        <v>0.92500000000000004</v>
      </c>
      <c r="R40">
        <v>2.5000000000000001E-2</v>
      </c>
      <c r="S40">
        <v>112</v>
      </c>
      <c r="T40">
        <v>0.5</v>
      </c>
      <c r="U40">
        <v>11</v>
      </c>
      <c r="V40">
        <v>0.125</v>
      </c>
      <c r="W40">
        <v>12.856099342585829</v>
      </c>
      <c r="X40">
        <v>0.71011453351582232</v>
      </c>
      <c r="Y40">
        <v>0.38342876312121632</v>
      </c>
      <c r="Z40">
        <v>1.2453840239376887E-2</v>
      </c>
    </row>
    <row r="41" spans="3:32" x14ac:dyDescent="0.3">
      <c r="C41" s="1">
        <v>9</v>
      </c>
      <c r="D41" s="1">
        <v>0.5</v>
      </c>
      <c r="E41" s="5">
        <f t="shared" si="8"/>
        <v>0.48823436556489469</v>
      </c>
      <c r="F41" s="5">
        <f t="shared" si="9"/>
        <v>2.7167668959566436E-2</v>
      </c>
      <c r="G41" s="7"/>
      <c r="H41" s="1" t="s">
        <v>18</v>
      </c>
      <c r="I41" s="2">
        <v>118.2295</v>
      </c>
      <c r="J41" s="2">
        <v>55.683540000000001</v>
      </c>
      <c r="M41" t="s">
        <v>51</v>
      </c>
      <c r="N41" s="7">
        <f>SQRT((I44/I41)^2+(I43/(19-I40))^2)</f>
        <v>0.20100863498104959</v>
      </c>
      <c r="P41">
        <v>40</v>
      </c>
      <c r="Q41">
        <v>0.92500000000000004</v>
      </c>
      <c r="R41">
        <v>2.5000000000000001E-2</v>
      </c>
      <c r="S41">
        <v>112</v>
      </c>
      <c r="T41">
        <v>0.5</v>
      </c>
      <c r="U41">
        <v>11</v>
      </c>
      <c r="V41">
        <v>0.125</v>
      </c>
      <c r="W41">
        <v>12.856099342585829</v>
      </c>
      <c r="X41">
        <v>0.71011453351582232</v>
      </c>
      <c r="Y41">
        <v>0.38342876312121632</v>
      </c>
      <c r="Z41">
        <v>1.2453840239376887E-2</v>
      </c>
    </row>
    <row r="42" spans="3:32" x14ac:dyDescent="0.3">
      <c r="C42" s="1">
        <v>11</v>
      </c>
      <c r="D42" s="1">
        <v>0.5</v>
      </c>
      <c r="E42" s="5">
        <f t="shared" si="8"/>
        <v>0.43912293597033097</v>
      </c>
      <c r="F42" s="5">
        <f t="shared" si="9"/>
        <v>2.2138060011216227E-2</v>
      </c>
      <c r="G42" s="7"/>
      <c r="H42" s="1" t="s">
        <v>24</v>
      </c>
      <c r="I42" s="2">
        <v>-6.1354199999999999</v>
      </c>
      <c r="J42" s="2">
        <v>-6.7589999999999997E-2</v>
      </c>
      <c r="M42" t="s">
        <v>52</v>
      </c>
      <c r="N42" s="7">
        <f>SQRT((J44/J41)^2+(J43/(19-J40))^2)</f>
        <v>0.16355727775974113</v>
      </c>
    </row>
    <row r="43" spans="3:32" x14ac:dyDescent="0.3">
      <c r="C43" s="1">
        <v>13</v>
      </c>
      <c r="D43" s="1">
        <v>0.5</v>
      </c>
      <c r="E43" s="5">
        <f t="shared" si="8"/>
        <v>0.3909924879254088</v>
      </c>
      <c r="F43" s="5">
        <f t="shared" si="9"/>
        <v>1.8337342188795777E-2</v>
      </c>
      <c r="G43" s="7"/>
      <c r="H43" s="1" t="s">
        <v>19</v>
      </c>
      <c r="I43" s="2">
        <v>0.87895999999999996</v>
      </c>
      <c r="J43" s="2">
        <v>0.70008999999999999</v>
      </c>
      <c r="M43" t="s">
        <v>28</v>
      </c>
      <c r="N43" s="7">
        <f>N39*SQRT((I45/I42)^2+(N41/(LN(19-I40)-LN(I41)))^2)</f>
        <v>5.0081253048507211E-2</v>
      </c>
      <c r="AA43" t="s">
        <v>78</v>
      </c>
      <c r="AB43" t="s">
        <v>78</v>
      </c>
      <c r="AC43" t="s">
        <v>79</v>
      </c>
      <c r="AD43" t="s">
        <v>79</v>
      </c>
      <c r="AE43" t="s">
        <v>80</v>
      </c>
      <c r="AF43" t="s">
        <v>80</v>
      </c>
    </row>
    <row r="44" spans="3:32" x14ac:dyDescent="0.3">
      <c r="C44" s="1">
        <v>15</v>
      </c>
      <c r="D44" s="1">
        <v>0.5</v>
      </c>
      <c r="E44" s="5">
        <f t="shared" si="8"/>
        <v>0.36978998544359892</v>
      </c>
      <c r="F44" s="5">
        <f t="shared" si="9"/>
        <v>1.6675801037844683E-2</v>
      </c>
      <c r="G44" s="7"/>
      <c r="H44" s="1" t="s">
        <v>20</v>
      </c>
      <c r="I44" s="2">
        <v>22.88119</v>
      </c>
      <c r="J44" s="2">
        <v>8.6977499999999992</v>
      </c>
      <c r="M44" t="s">
        <v>16</v>
      </c>
      <c r="N44" s="7">
        <f>N40*SQRT((J45/J42)^2+(N42/(LN(19-J40)-LN(J41)))^2)</f>
        <v>3.5632016460938565</v>
      </c>
      <c r="P44">
        <v>5</v>
      </c>
      <c r="Q44">
        <v>0.5</v>
      </c>
      <c r="R44">
        <v>0.72431982616042145</v>
      </c>
      <c r="S44">
        <v>4.3957050089136349E-2</v>
      </c>
      <c r="U44">
        <v>5</v>
      </c>
      <c r="V44">
        <v>0.5</v>
      </c>
      <c r="W44">
        <v>56.235827664399089</v>
      </c>
      <c r="X44">
        <v>5.3749600431454301</v>
      </c>
      <c r="Z44" t="s">
        <v>31</v>
      </c>
      <c r="AA44">
        <v>0.37592999999999999</v>
      </c>
      <c r="AB44">
        <v>3.5799999999999998E-3</v>
      </c>
      <c r="AC44">
        <v>0.53208999999999995</v>
      </c>
      <c r="AD44">
        <v>2.4549999999999999E-2</v>
      </c>
      <c r="AE44">
        <v>-0.10069</v>
      </c>
      <c r="AF44">
        <v>5.4000000000000003E-3</v>
      </c>
    </row>
    <row r="45" spans="3:32" x14ac:dyDescent="0.3">
      <c r="C45" s="1">
        <v>17</v>
      </c>
      <c r="D45" s="1">
        <v>0.5</v>
      </c>
      <c r="E45" s="5">
        <f t="shared" si="8"/>
        <v>0.34526294146433267</v>
      </c>
      <c r="F45" s="5">
        <f t="shared" si="9"/>
        <v>1.513753080297651E-2</v>
      </c>
      <c r="G45" s="7"/>
      <c r="H45" s="1" t="s">
        <v>25</v>
      </c>
      <c r="I45" s="2">
        <v>0.71701000000000004</v>
      </c>
      <c r="J45" s="2">
        <v>8.8500000000000002E-3</v>
      </c>
      <c r="P45">
        <v>7</v>
      </c>
      <c r="Q45">
        <v>0.5</v>
      </c>
      <c r="R45">
        <v>0.64164073226223151</v>
      </c>
      <c r="S45">
        <v>3.3771850110155877E-2</v>
      </c>
      <c r="U45">
        <v>7</v>
      </c>
      <c r="V45">
        <v>0.5</v>
      </c>
      <c r="W45">
        <v>42.734268899954721</v>
      </c>
      <c r="X45">
        <v>3.6549455925565062</v>
      </c>
      <c r="Z45" t="s">
        <v>32</v>
      </c>
      <c r="AA45">
        <v>12.60392</v>
      </c>
      <c r="AB45">
        <v>0.25402000000000002</v>
      </c>
      <c r="AC45">
        <v>70.526600000000002</v>
      </c>
      <c r="AD45">
        <v>4.63917</v>
      </c>
      <c r="AE45">
        <v>-0.12511</v>
      </c>
      <c r="AF45">
        <v>6.3600000000000002E-3</v>
      </c>
    </row>
    <row r="46" spans="3:32" x14ac:dyDescent="0.3">
      <c r="C46" s="1">
        <v>19</v>
      </c>
      <c r="D46" s="1">
        <v>0.5</v>
      </c>
      <c r="E46" s="5">
        <f t="shared" si="8"/>
        <v>0.32645483868000508</v>
      </c>
      <c r="F46" s="5">
        <f t="shared" si="9"/>
        <v>1.3886763514124658E-2</v>
      </c>
      <c r="G46" s="7"/>
      <c r="H46" s="1" t="s">
        <v>50</v>
      </c>
      <c r="I46" s="2">
        <v>2.3172799999999998</v>
      </c>
      <c r="J46" s="2">
        <v>4.6514600000000002</v>
      </c>
      <c r="P46">
        <v>9</v>
      </c>
      <c r="Q46">
        <v>0.5</v>
      </c>
      <c r="R46">
        <v>0.58054355286008552</v>
      </c>
      <c r="S46">
        <v>2.7123002174698832E-2</v>
      </c>
      <c r="U46">
        <v>9</v>
      </c>
      <c r="V46">
        <v>0.5</v>
      </c>
      <c r="W46">
        <v>33.727810650887569</v>
      </c>
      <c r="X46">
        <v>2.6112615812330491</v>
      </c>
    </row>
    <row r="47" spans="3:32" x14ac:dyDescent="0.3">
      <c r="P47">
        <v>11</v>
      </c>
      <c r="Q47">
        <v>0.5</v>
      </c>
      <c r="R47">
        <v>0.5431138911002823</v>
      </c>
      <c r="S47">
        <v>2.3896698000613063E-2</v>
      </c>
      <c r="U47">
        <v>11</v>
      </c>
      <c r="V47">
        <v>0.5</v>
      </c>
      <c r="W47">
        <v>29.619834710743802</v>
      </c>
      <c r="X47">
        <v>2.1703428514318035</v>
      </c>
    </row>
    <row r="48" spans="3:32" x14ac:dyDescent="0.3">
      <c r="P48">
        <v>13</v>
      </c>
      <c r="Q48">
        <v>0.5</v>
      </c>
      <c r="R48">
        <v>0.51208488805958308</v>
      </c>
      <c r="S48">
        <v>2.1191335713486407E-2</v>
      </c>
      <c r="U48">
        <v>13</v>
      </c>
      <c r="V48">
        <v>0.5</v>
      </c>
      <c r="W48">
        <v>25.208085612366229</v>
      </c>
      <c r="X48">
        <v>1.7546787282949032</v>
      </c>
    </row>
    <row r="49" spans="3:24" x14ac:dyDescent="0.3">
      <c r="C49" s="1" t="s">
        <v>0</v>
      </c>
      <c r="D49" s="1" t="s">
        <v>13</v>
      </c>
      <c r="E49" s="4" t="s">
        <v>11</v>
      </c>
      <c r="F49" s="4" t="s">
        <v>15</v>
      </c>
      <c r="P49">
        <v>15</v>
      </c>
      <c r="Q49">
        <v>0.5</v>
      </c>
      <c r="R49">
        <v>0.49133301909877691</v>
      </c>
      <c r="S49">
        <v>1.9634776112218075E-2</v>
      </c>
      <c r="U49">
        <v>15</v>
      </c>
      <c r="V49">
        <v>0.5</v>
      </c>
      <c r="W49">
        <v>23.111111111111111</v>
      </c>
      <c r="X49">
        <v>1.5566838941248504</v>
      </c>
    </row>
    <row r="50" spans="3:24" x14ac:dyDescent="0.3">
      <c r="C50" s="1">
        <v>5</v>
      </c>
      <c r="D50" s="1">
        <v>0.5</v>
      </c>
      <c r="E50" s="5">
        <f>J28</f>
        <v>62</v>
      </c>
      <c r="F50" s="5">
        <f>K28</f>
        <v>6.2201286160335947</v>
      </c>
      <c r="H50" s="1" t="s">
        <v>17</v>
      </c>
      <c r="I50" s="2">
        <v>16.980879999999999</v>
      </c>
      <c r="P50">
        <v>17</v>
      </c>
      <c r="Q50">
        <v>0.5</v>
      </c>
      <c r="R50">
        <v>0.47186133161436966</v>
      </c>
      <c r="S50">
        <v>1.8241486720640701E-2</v>
      </c>
      <c r="U50">
        <v>17</v>
      </c>
      <c r="V50">
        <v>0.5</v>
      </c>
      <c r="W50">
        <v>21.227887617065555</v>
      </c>
      <c r="X50">
        <v>1.3852636648708339</v>
      </c>
    </row>
    <row r="51" spans="3:24" x14ac:dyDescent="0.3">
      <c r="C51" s="1">
        <v>7</v>
      </c>
      <c r="D51" s="1">
        <v>0.5</v>
      </c>
      <c r="E51" s="5">
        <f t="shared" ref="E51:E57" si="10">J29</f>
        <v>47.933884297520656</v>
      </c>
      <c r="F51" s="5">
        <f t="shared" ref="F51:F57" si="11">K29</f>
        <v>4.3771744734303581</v>
      </c>
      <c r="H51" s="1" t="s">
        <v>18</v>
      </c>
      <c r="I51" s="2">
        <v>112.78341</v>
      </c>
      <c r="P51">
        <v>20</v>
      </c>
      <c r="Q51">
        <v>0.5</v>
      </c>
      <c r="R51">
        <v>0.45774243830924954</v>
      </c>
      <c r="S51">
        <v>1.7080218575078489E-2</v>
      </c>
      <c r="U51">
        <v>20</v>
      </c>
      <c r="V51">
        <v>0.5</v>
      </c>
      <c r="W51">
        <v>19.140624999999996</v>
      </c>
      <c r="X51">
        <v>1.2121280846978912</v>
      </c>
    </row>
    <row r="52" spans="3:24" x14ac:dyDescent="0.3">
      <c r="C52" s="1">
        <v>9</v>
      </c>
      <c r="D52" s="1">
        <v>0.5</v>
      </c>
      <c r="E52" s="5">
        <f t="shared" si="10"/>
        <v>39.583333333333336</v>
      </c>
      <c r="F52" s="5">
        <f t="shared" si="11"/>
        <v>3.3168356205803478</v>
      </c>
      <c r="H52" s="1" t="s">
        <v>24</v>
      </c>
      <c r="I52" s="2">
        <v>-0.18296999999999999</v>
      </c>
      <c r="P52">
        <v>22</v>
      </c>
      <c r="Q52">
        <v>0.5</v>
      </c>
      <c r="R52">
        <v>0.44036448819315954</v>
      </c>
      <c r="S52">
        <v>1.5947348932587067E-2</v>
      </c>
      <c r="U52">
        <v>22</v>
      </c>
      <c r="V52">
        <v>0.5</v>
      </c>
      <c r="W52">
        <v>17.630853994490359</v>
      </c>
      <c r="X52">
        <v>1.0842045643245162</v>
      </c>
    </row>
    <row r="53" spans="3:24" x14ac:dyDescent="0.3">
      <c r="C53" s="1">
        <v>11</v>
      </c>
      <c r="D53" s="1">
        <v>0.5</v>
      </c>
      <c r="E53" s="5">
        <f t="shared" si="10"/>
        <v>31.952662721893489</v>
      </c>
      <c r="F53" s="5">
        <f t="shared" si="11"/>
        <v>2.4756393644640209</v>
      </c>
      <c r="H53" s="1" t="s">
        <v>19</v>
      </c>
      <c r="I53" s="2">
        <v>0.49831999999999999</v>
      </c>
      <c r="P53">
        <v>24</v>
      </c>
      <c r="Q53">
        <v>0.5</v>
      </c>
      <c r="R53">
        <v>0.42397445635651276</v>
      </c>
      <c r="S53">
        <v>1.4921430558130246E-2</v>
      </c>
      <c r="U53">
        <v>24</v>
      </c>
      <c r="V53">
        <v>0.5</v>
      </c>
      <c r="W53">
        <v>16.262975778546714</v>
      </c>
      <c r="X53">
        <v>0.97216431785786706</v>
      </c>
    </row>
    <row r="54" spans="3:24" x14ac:dyDescent="0.3">
      <c r="C54" s="1">
        <v>13</v>
      </c>
      <c r="D54" s="1">
        <v>0.5</v>
      </c>
      <c r="E54" s="5">
        <f t="shared" si="10"/>
        <v>27.040816326530607</v>
      </c>
      <c r="F54" s="5">
        <f t="shared" si="11"/>
        <v>1.9482604088372675</v>
      </c>
      <c r="H54" s="1" t="s">
        <v>20</v>
      </c>
      <c r="I54" s="2">
        <v>4.9902300000000004</v>
      </c>
      <c r="P54">
        <v>26</v>
      </c>
      <c r="Q54">
        <v>0.5</v>
      </c>
      <c r="R54">
        <v>0.41203396324479225</v>
      </c>
      <c r="S54">
        <v>1.4107626538659131E-2</v>
      </c>
      <c r="U54">
        <v>26</v>
      </c>
      <c r="V54">
        <v>0.5</v>
      </c>
      <c r="W54">
        <v>15.346938775510203</v>
      </c>
      <c r="X54">
        <v>0.89203604774856327</v>
      </c>
    </row>
    <row r="55" spans="3:24" x14ac:dyDescent="0.3">
      <c r="C55" s="1">
        <v>15</v>
      </c>
      <c r="D55" s="1">
        <v>0.5</v>
      </c>
      <c r="E55" s="5">
        <f t="shared" si="10"/>
        <v>24.256837098692031</v>
      </c>
      <c r="F55" s="5">
        <f t="shared" si="11"/>
        <v>1.6897040843777782</v>
      </c>
      <c r="H55" s="1" t="s">
        <v>25</v>
      </c>
      <c r="I55" s="2">
        <v>7.5300000000000002E-3</v>
      </c>
      <c r="P55">
        <v>28</v>
      </c>
      <c r="Q55">
        <v>0.5</v>
      </c>
      <c r="R55">
        <v>0.41215598693173289</v>
      </c>
      <c r="S55">
        <v>1.4089504197186353E-2</v>
      </c>
      <c r="U55">
        <v>28</v>
      </c>
      <c r="V55">
        <v>0.5</v>
      </c>
      <c r="W55">
        <v>15.020408163265307</v>
      </c>
      <c r="X55">
        <v>0.87369901266144401</v>
      </c>
    </row>
    <row r="56" spans="3:24" x14ac:dyDescent="0.3">
      <c r="C56" s="1">
        <v>17</v>
      </c>
      <c r="D56" s="1">
        <v>0.5</v>
      </c>
      <c r="E56" s="5">
        <f t="shared" si="10"/>
        <v>22.222222222222221</v>
      </c>
      <c r="F56" s="5">
        <f t="shared" si="11"/>
        <v>1.4980554382338285</v>
      </c>
      <c r="P56">
        <v>30</v>
      </c>
      <c r="Q56">
        <v>0.5</v>
      </c>
      <c r="R56">
        <v>0.39740445950852404</v>
      </c>
      <c r="S56">
        <v>1.3234902363940816E-2</v>
      </c>
      <c r="U56">
        <v>30</v>
      </c>
      <c r="V56">
        <v>0.5</v>
      </c>
      <c r="W56">
        <v>13.888888888888888</v>
      </c>
      <c r="X56">
        <v>0.78688572740629392</v>
      </c>
    </row>
    <row r="57" spans="3:24" x14ac:dyDescent="0.3">
      <c r="C57" s="1">
        <v>19</v>
      </c>
      <c r="D57" s="1">
        <v>0.5</v>
      </c>
      <c r="E57" s="5">
        <f t="shared" si="10"/>
        <v>20.39542143600416</v>
      </c>
      <c r="F57" s="5">
        <f t="shared" si="11"/>
        <v>1.3321901768464213</v>
      </c>
      <c r="P57">
        <v>32</v>
      </c>
      <c r="Q57">
        <v>0.5</v>
      </c>
      <c r="R57">
        <v>0.39740445950852404</v>
      </c>
      <c r="S57">
        <v>1.3234902363940816E-2</v>
      </c>
      <c r="U57">
        <v>32</v>
      </c>
      <c r="V57">
        <v>0.5</v>
      </c>
      <c r="W57">
        <v>13.888888888888888</v>
      </c>
      <c r="X57">
        <v>0.78688572740629392</v>
      </c>
    </row>
    <row r="58" spans="3:24" x14ac:dyDescent="0.3">
      <c r="P58">
        <v>34</v>
      </c>
      <c r="Q58">
        <v>0.5</v>
      </c>
      <c r="R58">
        <v>0.39384384126487115</v>
      </c>
      <c r="S58">
        <v>1.3139952144280962E-2</v>
      </c>
      <c r="U58">
        <v>34</v>
      </c>
      <c r="V58">
        <v>0.5</v>
      </c>
      <c r="W58">
        <v>13.888888888888888</v>
      </c>
      <c r="X58">
        <v>0.78688572740629392</v>
      </c>
    </row>
    <row r="59" spans="3:24" x14ac:dyDescent="0.3">
      <c r="P59">
        <v>36</v>
      </c>
      <c r="Q59">
        <v>0.5</v>
      </c>
      <c r="R59">
        <v>0.39395299194831757</v>
      </c>
      <c r="S59">
        <v>1.3124182909807273E-2</v>
      </c>
      <c r="U59">
        <v>36</v>
      </c>
      <c r="V59">
        <v>0.5</v>
      </c>
      <c r="W59">
        <v>13.580246913580247</v>
      </c>
      <c r="X59">
        <v>0.77007927204683191</v>
      </c>
    </row>
    <row r="60" spans="3:24" x14ac:dyDescent="0.3">
      <c r="P60">
        <v>38</v>
      </c>
      <c r="Q60">
        <v>0.5</v>
      </c>
      <c r="R60">
        <v>0.38342876312121632</v>
      </c>
      <c r="S60">
        <v>1.2453840239376887E-2</v>
      </c>
      <c r="U60">
        <v>38</v>
      </c>
      <c r="V60">
        <v>0.5</v>
      </c>
      <c r="W60">
        <v>12.856099342585829</v>
      </c>
      <c r="X60">
        <v>0.71011453351582232</v>
      </c>
    </row>
    <row r="61" spans="3:24" x14ac:dyDescent="0.3">
      <c r="C61" t="s">
        <v>33</v>
      </c>
      <c r="D61" s="7">
        <f>(G61^2+G63^2-G62^2)/(2*G61*G63)</f>
        <v>0.72629310344827591</v>
      </c>
      <c r="F61" t="s">
        <v>44</v>
      </c>
      <c r="G61">
        <v>70</v>
      </c>
      <c r="P61">
        <v>40</v>
      </c>
      <c r="Q61">
        <v>0.5</v>
      </c>
      <c r="R61">
        <v>0.38342876312121632</v>
      </c>
      <c r="S61">
        <v>1.2453840239376887E-2</v>
      </c>
      <c r="U61">
        <v>40</v>
      </c>
      <c r="V61">
        <v>0.5</v>
      </c>
      <c r="W61">
        <v>12.856099342585829</v>
      </c>
      <c r="X61">
        <v>0.71011453351582232</v>
      </c>
    </row>
    <row r="62" spans="3:24" x14ac:dyDescent="0.3">
      <c r="C62" t="s">
        <v>29</v>
      </c>
      <c r="D62">
        <f>G63*D61-G61</f>
        <v>14.25</v>
      </c>
      <c r="F62" t="s">
        <v>45</v>
      </c>
      <c r="G62">
        <v>81</v>
      </c>
    </row>
    <row r="63" spans="3:24" x14ac:dyDescent="0.3">
      <c r="C63" t="s">
        <v>30</v>
      </c>
      <c r="D63" s="7">
        <f>G62*SQRT(1-D61^2)</f>
        <v>55.678196174476234</v>
      </c>
      <c r="F63" t="s">
        <v>46</v>
      </c>
      <c r="G63">
        <v>116</v>
      </c>
    </row>
    <row r="64" spans="3:24" x14ac:dyDescent="0.3">
      <c r="H64" s="1"/>
      <c r="I64" s="1" t="s">
        <v>39</v>
      </c>
      <c r="J64" s="1" t="s">
        <v>36</v>
      </c>
      <c r="K64" s="1" t="s">
        <v>38</v>
      </c>
      <c r="L64" s="1" t="s">
        <v>40</v>
      </c>
      <c r="M64" s="1" t="s">
        <v>37</v>
      </c>
    </row>
    <row r="65" spans="3:13" x14ac:dyDescent="0.3">
      <c r="C65" t="s">
        <v>42</v>
      </c>
      <c r="D65" s="7">
        <f>0.5*G65*SQRT((1/G63-G63/G61^2+G62^2/G63/G61^2)^2+(1/G61^2-G61/G63+G62^2/G61/G63^2)^2+4*(G62/G61/G63)^2)</f>
        <v>0.14915565716576384</v>
      </c>
      <c r="F65" t="s">
        <v>47</v>
      </c>
      <c r="G65">
        <v>0.5</v>
      </c>
      <c r="H65" s="1" t="s">
        <v>11</v>
      </c>
      <c r="I65" s="1">
        <v>8.5299999999999994</v>
      </c>
      <c r="J65" s="1">
        <v>20.47</v>
      </c>
      <c r="K65" s="1">
        <v>18.39</v>
      </c>
      <c r="L65" s="1">
        <v>9.6</v>
      </c>
      <c r="M65" s="1">
        <v>15.14</v>
      </c>
    </row>
    <row r="66" spans="3:13" x14ac:dyDescent="0.3">
      <c r="C66" t="s">
        <v>43</v>
      </c>
      <c r="D66" s="7">
        <f>SQRT(G65^2+(D61*G67)^2+(G63*D65)^2)</f>
        <v>17.313088264276416</v>
      </c>
      <c r="F66" t="s">
        <v>48</v>
      </c>
      <c r="G66">
        <v>0.5</v>
      </c>
      <c r="H66" s="1" t="s">
        <v>12</v>
      </c>
      <c r="I66" s="1">
        <v>0.31</v>
      </c>
      <c r="J66" s="1">
        <v>0.33</v>
      </c>
      <c r="K66" s="1">
        <v>0.23</v>
      </c>
      <c r="L66" s="8" t="s">
        <v>41</v>
      </c>
      <c r="M66" s="1">
        <v>0.36</v>
      </c>
    </row>
    <row r="67" spans="3:13" x14ac:dyDescent="0.3">
      <c r="C67" t="s">
        <v>53</v>
      </c>
      <c r="D67" s="7">
        <f>SQRT((1-D61^2)*G66^2+(1/D61^2-1)*(D65*G62)^2)</f>
        <v>11.439553247673835</v>
      </c>
      <c r="F67" t="s">
        <v>49</v>
      </c>
      <c r="G67">
        <v>0.5</v>
      </c>
    </row>
    <row r="68" spans="3:13" x14ac:dyDescent="0.3">
      <c r="F68" t="s">
        <v>55</v>
      </c>
      <c r="G68">
        <v>2.5000000000000001E-2</v>
      </c>
    </row>
    <row r="70" spans="3:13" x14ac:dyDescent="0.3">
      <c r="C70" t="s">
        <v>31</v>
      </c>
      <c r="D70" s="7">
        <f>D63/(2*3.14*50*D23)</f>
        <v>0.22879883367362333</v>
      </c>
    </row>
    <row r="71" spans="3:13" x14ac:dyDescent="0.3">
      <c r="C71" t="s">
        <v>54</v>
      </c>
      <c r="D71" s="7">
        <f>D70*SQRT((D67/D63)^2+(G68/D23)^2)</f>
        <v>4.7584512965239266E-2</v>
      </c>
    </row>
    <row r="72" spans="3:13" x14ac:dyDescent="0.3">
      <c r="C72" t="s">
        <v>32</v>
      </c>
      <c r="D72" s="7">
        <f>D62/D23</f>
        <v>18.387096774193548</v>
      </c>
    </row>
    <row r="73" spans="3:13" x14ac:dyDescent="0.3">
      <c r="C73" t="s">
        <v>60</v>
      </c>
      <c r="D73" s="7">
        <f>D72*SQRT((D66/D62)^2+(G68/D23)^2)</f>
        <v>22.347341425901458</v>
      </c>
    </row>
    <row r="75" spans="3:13" x14ac:dyDescent="0.3">
      <c r="C75" t="s">
        <v>34</v>
      </c>
      <c r="D75" s="6">
        <f>D62/F23</f>
        <v>0.17592592592592593</v>
      </c>
      <c r="F75" t="s">
        <v>61</v>
      </c>
      <c r="G75">
        <v>33.5</v>
      </c>
    </row>
    <row r="76" spans="3:13" x14ac:dyDescent="0.3">
      <c r="C76" t="s">
        <v>56</v>
      </c>
      <c r="D76" s="6">
        <f>D75*SQRT((D66/D62)^2+(G66/F23)^2)</f>
        <v>0.21374458914136074</v>
      </c>
      <c r="F76" t="s">
        <v>62</v>
      </c>
      <c r="G76">
        <v>1.5</v>
      </c>
    </row>
    <row r="77" spans="3:13" x14ac:dyDescent="0.3">
      <c r="F77" t="s">
        <v>63</v>
      </c>
      <c r="G77">
        <v>5.6</v>
      </c>
    </row>
    <row r="78" spans="3:13" x14ac:dyDescent="0.3">
      <c r="C78" t="s">
        <v>35</v>
      </c>
      <c r="D78" s="6">
        <f>H23/F23/D23</f>
        <v>0.19514137793707687</v>
      </c>
      <c r="F78" t="s">
        <v>64</v>
      </c>
      <c r="G78">
        <v>5.0000000000000001E-3</v>
      </c>
    </row>
    <row r="79" spans="3:13" x14ac:dyDescent="0.3">
      <c r="C79" t="s">
        <v>57</v>
      </c>
      <c r="D79" s="6">
        <f>D78*SQRT((E35/D35)^2+(G35/F35)^2+(I35/H35)^2)</f>
        <v>6.7113030980281022E-3</v>
      </c>
      <c r="F79" t="s">
        <v>66</v>
      </c>
      <c r="G79">
        <v>2.2000000000000002</v>
      </c>
    </row>
    <row r="80" spans="3:13" x14ac:dyDescent="0.3">
      <c r="F80" t="s">
        <v>65</v>
      </c>
      <c r="G80">
        <v>0.01</v>
      </c>
    </row>
    <row r="81" spans="3:7" x14ac:dyDescent="0.3">
      <c r="C81" t="s">
        <v>58</v>
      </c>
      <c r="D81" s="9">
        <f>D75*E23*F23/98</f>
        <v>10.178571428571429</v>
      </c>
      <c r="F81" t="s">
        <v>70</v>
      </c>
      <c r="G81">
        <v>250</v>
      </c>
    </row>
    <row r="82" spans="3:7" x14ac:dyDescent="0.3">
      <c r="C82" t="s">
        <v>59</v>
      </c>
      <c r="D82" s="9">
        <f>D81*SQRT((G66/G62)^2+(G65/G61)^2+(0.01/98)^2+(D76/D75)^2)</f>
        <v>12.367024592627452</v>
      </c>
      <c r="F82" t="s">
        <v>71</v>
      </c>
      <c r="G82">
        <v>5</v>
      </c>
    </row>
    <row r="84" spans="3:7" x14ac:dyDescent="0.3">
      <c r="C84" t="s">
        <v>32</v>
      </c>
      <c r="D84" s="9">
        <f>G75/G79-G77</f>
        <v>9.627272727272727</v>
      </c>
    </row>
    <row r="85" spans="3:7" x14ac:dyDescent="0.3">
      <c r="C85" t="s">
        <v>60</v>
      </c>
      <c r="D85" s="9">
        <f>D84*SQRT((G80/G79)^2+(G76^2+(G77*G80)^2+(G79*G78)^2)/(D84*G79)^2)</f>
        <v>0.68371334159462582</v>
      </c>
    </row>
    <row r="87" spans="3:7" x14ac:dyDescent="0.3">
      <c r="F87" t="s">
        <v>68</v>
      </c>
      <c r="G87" s="10">
        <f>28.1*10^(-6)</f>
        <v>2.8099999999999999E-5</v>
      </c>
    </row>
    <row r="88" spans="3:7" x14ac:dyDescent="0.3">
      <c r="F88" t="s">
        <v>67</v>
      </c>
      <c r="G88" s="10">
        <f>1.4*10^(-6)</f>
        <v>1.3999999999999999E-6</v>
      </c>
    </row>
    <row r="89" spans="3:7" x14ac:dyDescent="0.3">
      <c r="C89" t="s">
        <v>31</v>
      </c>
      <c r="D89" s="7">
        <f>1/(2*3.14*50)^2/G87</f>
        <v>0.3609394763692203</v>
      </c>
    </row>
    <row r="90" spans="3:7" x14ac:dyDescent="0.3">
      <c r="C90" t="s">
        <v>69</v>
      </c>
      <c r="D90" s="7">
        <f>D89*G88/G87</f>
        <v>1.7982749712345494E-2</v>
      </c>
    </row>
    <row r="93" spans="3:7" x14ac:dyDescent="0.3">
      <c r="C93" t="s">
        <v>32</v>
      </c>
      <c r="D93" s="7">
        <f>2*3.14*50*D89*G75/G81</f>
        <v>15.186889407711314</v>
      </c>
    </row>
    <row r="94" spans="3:7" x14ac:dyDescent="0.3">
      <c r="C94" t="s">
        <v>60</v>
      </c>
      <c r="D94" s="7">
        <f>D93*SQRT((D90/D89)^2+(G82/G81)^2+(G76/G75)^2)</f>
        <v>1.0616862021536604</v>
      </c>
    </row>
  </sheetData>
  <mergeCells count="1">
    <mergeCell ref="I38:J3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0</cp:lastModifiedBy>
  <dcterms:created xsi:type="dcterms:W3CDTF">2015-06-05T18:19:34Z</dcterms:created>
  <dcterms:modified xsi:type="dcterms:W3CDTF">2021-10-18T20:36:30Z</dcterms:modified>
</cp:coreProperties>
</file>