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3" sheetId="3" r:id="rId1"/>
  </sheets>
  <definedNames>
    <definedName name="A">Лист3!$A$1048553</definedName>
  </definedNames>
  <calcPr calcId="144525"/>
</workbook>
</file>

<file path=xl/calcChain.xml><?xml version="1.0" encoding="utf-8"?>
<calcChain xmlns="http://schemas.openxmlformats.org/spreadsheetml/2006/main">
  <c r="L28" i="3" l="1"/>
  <c r="L27" i="3"/>
  <c r="I34" i="3"/>
  <c r="K28" i="3"/>
  <c r="K27" i="3"/>
  <c r="I28" i="3"/>
  <c r="I27" i="3"/>
  <c r="J28" i="3"/>
  <c r="J27" i="3"/>
  <c r="H28" i="3"/>
  <c r="H27" i="3"/>
  <c r="G28" i="3"/>
  <c r="G27" i="3"/>
  <c r="H34" i="3"/>
  <c r="G34" i="3"/>
  <c r="J18" i="3"/>
  <c r="F35" i="3"/>
  <c r="G35" i="3" s="1"/>
  <c r="F8" i="3" l="1"/>
  <c r="B8" i="3"/>
  <c r="C8" i="3"/>
  <c r="G8" i="3"/>
  <c r="D8" i="3"/>
  <c r="H8" i="3"/>
  <c r="E8" i="3"/>
  <c r="I8" i="3"/>
  <c r="C20" i="3"/>
  <c r="C21" i="3" s="1"/>
  <c r="D20" i="3"/>
  <c r="D21" i="3" s="1"/>
  <c r="E20" i="3"/>
  <c r="E21" i="3" s="1"/>
  <c r="F20" i="3"/>
  <c r="F21" i="3" s="1"/>
  <c r="G20" i="3"/>
  <c r="G21" i="3" s="1"/>
  <c r="H20" i="3"/>
  <c r="H21" i="3" s="1"/>
  <c r="I20" i="3"/>
  <c r="I21" i="3" s="1"/>
  <c r="B20" i="3"/>
  <c r="B21" i="3" s="1"/>
  <c r="B12" i="3"/>
  <c r="B13" i="3" s="1"/>
  <c r="H7" i="3"/>
  <c r="I7" i="3"/>
  <c r="C7" i="3"/>
  <c r="D7" i="3"/>
  <c r="E7" i="3"/>
  <c r="F7" i="3"/>
  <c r="G7" i="3"/>
  <c r="B2" i="3"/>
  <c r="B7" i="3"/>
  <c r="B14" i="3" l="1"/>
  <c r="B15" i="3" s="1"/>
  <c r="K21" i="3"/>
  <c r="H22" i="3" s="1"/>
  <c r="G22" i="3"/>
  <c r="H23" i="3" l="1"/>
  <c r="H24" i="3"/>
  <c r="G23" i="3"/>
  <c r="G24" i="3"/>
  <c r="E22" i="3"/>
  <c r="I22" i="3"/>
  <c r="B22" i="3"/>
  <c r="D22" i="3"/>
  <c r="C22" i="3"/>
  <c r="F22" i="3"/>
  <c r="B24" i="3" l="1"/>
  <c r="B23" i="3"/>
  <c r="F24" i="3"/>
  <c r="F23" i="3"/>
  <c r="I24" i="3"/>
  <c r="I23" i="3"/>
  <c r="C23" i="3"/>
  <c r="C24" i="3"/>
  <c r="E24" i="3"/>
  <c r="E23" i="3"/>
  <c r="D23" i="3"/>
  <c r="D24" i="3"/>
  <c r="B26" i="3" l="1"/>
  <c r="C26" i="3" s="1"/>
</calcChain>
</file>

<file path=xl/sharedStrings.xml><?xml version="1.0" encoding="utf-8"?>
<sst xmlns="http://schemas.openxmlformats.org/spreadsheetml/2006/main" count="34" uniqueCount="25">
  <si>
    <t>n</t>
  </si>
  <si>
    <t>T</t>
  </si>
  <si>
    <t>nu</t>
  </si>
  <si>
    <t>Hz</t>
  </si>
  <si>
    <t>C, мкФ</t>
  </si>
  <si>
    <t>L, мГн</t>
  </si>
  <si>
    <t>v0</t>
  </si>
  <si>
    <t>L, Гн</t>
  </si>
  <si>
    <t>1/(2pi v)</t>
  </si>
  <si>
    <t>С, Ф</t>
  </si>
  <si>
    <t>Rкр</t>
  </si>
  <si>
    <t>0.1Rкр</t>
  </si>
  <si>
    <t>R</t>
  </si>
  <si>
    <t>U_верх</t>
  </si>
  <si>
    <t>U_низ</t>
  </si>
  <si>
    <t>Theta</t>
  </si>
  <si>
    <t>v, Гц</t>
  </si>
  <si>
    <t>Rl, Ом</t>
  </si>
  <si>
    <t>Tтеор</t>
  </si>
  <si>
    <t>T_n, мкс</t>
  </si>
  <si>
    <t>T, мкс</t>
  </si>
  <si>
    <t>Qтеор</t>
  </si>
  <si>
    <t>Qэксп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</si>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</sst>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Лист3!$B$4:$I$4</c:f>
              <c:numCache>
                <c:formatCode>General</c:formatCode>
                <c:ptCount val="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</c:numCache>
            </c:numRef>
          </c:xVal>
          <c:yVal>
            <c:numRef>
              <c:f>Лист3!$B$7:$I$7</c:f>
              <c:numCache>
                <c:formatCode>0.00</c:formatCode>
                <c:ptCount val="8"/>
                <c:pt idx="0">
                  <c:v>0.32799999999999996</c:v>
                </c:pt>
                <c:pt idx="1">
                  <c:v>0.43333333333333335</c:v>
                </c:pt>
                <c:pt idx="2">
                  <c:v>0.47647058823529409</c:v>
                </c:pt>
                <c:pt idx="3">
                  <c:v>0.5</c:v>
                </c:pt>
                <c:pt idx="4">
                  <c:v>0.5714285714285714</c:v>
                </c:pt>
                <c:pt idx="5">
                  <c:v>0.61538461538461542</c:v>
                </c:pt>
                <c:pt idx="6">
                  <c:v>0.64444444444444438</c:v>
                </c:pt>
                <c:pt idx="7">
                  <c:v>0.72727272727272729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2240"/>
        <c:axId val="200443776"/>
      </c:scatterChart>
      <c:valAx>
        <c:axId val="2004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443776"/>
        <c:crosses val="autoZero"/>
        <c:crossBetween val="midCat"/>
      </c:valAx>
      <c:valAx>
        <c:axId val="200443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044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168832020997376"/>
                  <c:y val="4.5821668124817728E-2"/>
                </c:manualLayout>
              </c:layout>
              <c:numFmt formatCode="General" sourceLinked="0"/>
            </c:trendlineLbl>
          </c:trendline>
          <c:xVal>
            <c:numRef>
              <c:f>Лист3!$B$7:$I$7</c:f>
              <c:numCache>
                <c:formatCode>0.00</c:formatCode>
                <c:ptCount val="8"/>
                <c:pt idx="0">
                  <c:v>0.32799999999999996</c:v>
                </c:pt>
                <c:pt idx="1">
                  <c:v>0.43333333333333335</c:v>
                </c:pt>
                <c:pt idx="2">
                  <c:v>0.47647058823529409</c:v>
                </c:pt>
                <c:pt idx="3">
                  <c:v>0.5</c:v>
                </c:pt>
                <c:pt idx="4">
                  <c:v>0.5714285714285714</c:v>
                </c:pt>
                <c:pt idx="5">
                  <c:v>0.61538461538461542</c:v>
                </c:pt>
                <c:pt idx="6">
                  <c:v>0.64444444444444438</c:v>
                </c:pt>
                <c:pt idx="7">
                  <c:v>0.72727272727272729</c:v>
                </c:pt>
              </c:numCache>
            </c:numRef>
          </c:xVal>
          <c:yVal>
            <c:numRef>
              <c:f>Лист3!$B$8:$I$8</c:f>
              <c:numCache>
                <c:formatCode>0.00</c:formatCode>
                <c:ptCount val="8"/>
                <c:pt idx="0">
                  <c:v>0.3377760010370674</c:v>
                </c:pt>
                <c:pt idx="1">
                  <c:v>0.41368942494930838</c:v>
                </c:pt>
                <c:pt idx="2">
                  <c:v>0.4776874017107694</c:v>
                </c:pt>
                <c:pt idx="3">
                  <c:v>0.53407075111026481</c:v>
                </c:pt>
                <c:pt idx="4">
                  <c:v>0.58504519537363864</c:v>
                </c:pt>
                <c:pt idx="5">
                  <c:v>0.63192103467765293</c:v>
                </c:pt>
                <c:pt idx="6">
                  <c:v>0.67555200207413479</c:v>
                </c:pt>
                <c:pt idx="7">
                  <c:v>0.71653110256615404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568"/>
        <c:axId val="48871680"/>
      </c:scatterChart>
      <c:valAx>
        <c:axId val="488775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8871680"/>
        <c:crosses val="autoZero"/>
        <c:crossBetween val="midCat"/>
      </c:valAx>
      <c:valAx>
        <c:axId val="48871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87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</xdr:row>
      <xdr:rowOff>49530</xdr:rowOff>
    </xdr:from>
    <xdr:to>
      <xdr:col>22</xdr:col>
      <xdr:colOff>312420</xdr:colOff>
      <xdr:row>16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16</xdr:row>
      <xdr:rowOff>49530</xdr:rowOff>
    </xdr:from>
    <xdr:to>
      <xdr:col>19</xdr:col>
      <xdr:colOff>495300</xdr:colOff>
      <xdr:row>31</xdr:row>
      <xdr:rowOff>49530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0" workbookViewId="0">
      <selection activeCell="L27" sqref="L27:L28"/>
    </sheetView>
  </sheetViews>
  <sheetFormatPr defaultRowHeight="14.4" x14ac:dyDescent="0.3"/>
  <cols>
    <col min="2" max="2" width="12" bestFit="1" customWidth="1"/>
  </cols>
  <sheetData>
    <row r="1" spans="1:13" x14ac:dyDescent="0.3">
      <c r="A1" t="s">
        <v>2</v>
      </c>
      <c r="B1">
        <v>100</v>
      </c>
      <c r="C1" t="s">
        <v>3</v>
      </c>
    </row>
    <row r="2" spans="1:13" x14ac:dyDescent="0.3">
      <c r="A2" t="s">
        <v>1</v>
      </c>
      <c r="B2">
        <f>1/B1</f>
        <v>0.01</v>
      </c>
    </row>
    <row r="4" spans="1:13" x14ac:dyDescent="0.3">
      <c r="A4" t="s">
        <v>4</v>
      </c>
      <c r="B4">
        <v>0.02</v>
      </c>
      <c r="C4">
        <v>0.03</v>
      </c>
      <c r="D4">
        <v>0.04</v>
      </c>
      <c r="E4">
        <v>0.05</v>
      </c>
      <c r="F4">
        <v>0.06</v>
      </c>
      <c r="G4">
        <v>7.0000000000000007E-2</v>
      </c>
      <c r="H4">
        <v>0.08</v>
      </c>
      <c r="I4">
        <v>0.09</v>
      </c>
      <c r="K4">
        <v>0.02</v>
      </c>
      <c r="L4">
        <v>0.33</v>
      </c>
      <c r="M4">
        <v>0.34</v>
      </c>
    </row>
    <row r="5" spans="1:13" x14ac:dyDescent="0.3">
      <c r="A5" t="s">
        <v>0</v>
      </c>
      <c r="B5">
        <v>25</v>
      </c>
      <c r="C5">
        <v>18</v>
      </c>
      <c r="D5">
        <v>17</v>
      </c>
      <c r="E5">
        <v>14</v>
      </c>
      <c r="F5">
        <v>14</v>
      </c>
      <c r="G5">
        <v>13</v>
      </c>
      <c r="H5">
        <v>9</v>
      </c>
      <c r="I5">
        <v>11</v>
      </c>
      <c r="K5">
        <v>0.03</v>
      </c>
      <c r="L5">
        <v>0.43</v>
      </c>
      <c r="M5">
        <v>0.41</v>
      </c>
    </row>
    <row r="6" spans="1:13" x14ac:dyDescent="0.3">
      <c r="A6" t="s">
        <v>19</v>
      </c>
      <c r="B6" s="1">
        <v>8.1999999999999993</v>
      </c>
      <c r="C6" s="1">
        <v>7.8</v>
      </c>
      <c r="D6" s="1">
        <v>8.1</v>
      </c>
      <c r="E6" s="1">
        <v>7</v>
      </c>
      <c r="F6" s="1">
        <v>8</v>
      </c>
      <c r="G6" s="1">
        <v>8</v>
      </c>
      <c r="H6" s="1">
        <v>5.8</v>
      </c>
      <c r="I6" s="1">
        <v>8</v>
      </c>
      <c r="K6">
        <v>0.04</v>
      </c>
      <c r="L6">
        <v>0.48</v>
      </c>
      <c r="M6">
        <v>0.48</v>
      </c>
    </row>
    <row r="7" spans="1:13" x14ac:dyDescent="0.3">
      <c r="A7" t="s">
        <v>20</v>
      </c>
      <c r="B7" s="2">
        <f>B6/B5</f>
        <v>0.32799999999999996</v>
      </c>
      <c r="C7" s="2">
        <f t="shared" ref="C7:G7" si="0">C6/C5</f>
        <v>0.43333333333333335</v>
      </c>
      <c r="D7" s="2">
        <f t="shared" si="0"/>
        <v>0.47647058823529409</v>
      </c>
      <c r="E7" s="2">
        <f t="shared" si="0"/>
        <v>0.5</v>
      </c>
      <c r="F7" s="2">
        <f t="shared" si="0"/>
        <v>0.5714285714285714</v>
      </c>
      <c r="G7" s="2">
        <f t="shared" si="0"/>
        <v>0.61538461538461542</v>
      </c>
      <c r="H7" s="2">
        <f t="shared" ref="H7" si="1">H6/H5</f>
        <v>0.64444444444444438</v>
      </c>
      <c r="I7" s="2">
        <f t="shared" ref="I7" si="2">I6/I5</f>
        <v>0.72727272727272729</v>
      </c>
      <c r="K7">
        <v>0.05</v>
      </c>
      <c r="L7">
        <v>0.5</v>
      </c>
      <c r="M7">
        <v>0.53</v>
      </c>
    </row>
    <row r="8" spans="1:13" x14ac:dyDescent="0.3">
      <c r="A8" t="s">
        <v>18</v>
      </c>
      <c r="B8" s="2">
        <f>2*PI()*SQRT(B4*10^(-6)*$G$35*10^(-3))*10^3</f>
        <v>0.3377760010370674</v>
      </c>
      <c r="C8" s="2">
        <f>2*PI()*SQRT(C4*10^(-6)*$G$35*10^(-3))*10^3</f>
        <v>0.41368942494930838</v>
      </c>
      <c r="D8" s="2">
        <f>2*PI()*SQRT(D4*10^(-6)*$G$35*10^(-3))*10^3</f>
        <v>0.4776874017107694</v>
      </c>
      <c r="E8" s="2">
        <f>2*PI()*SQRT(E4*10^(-6)*$G$35*10^(-3))*10^3</f>
        <v>0.53407075111026481</v>
      </c>
      <c r="F8" s="2">
        <f>2*PI()*SQRT(F4*10^(-6)*$G$35*10^(-3))*10^3</f>
        <v>0.58504519537363864</v>
      </c>
      <c r="G8" s="2">
        <f>2*PI()*SQRT(G4*10^(-6)*$G$35*10^(-3))*10^3</f>
        <v>0.63192103467765293</v>
      </c>
      <c r="H8" s="2">
        <f>2*PI()*SQRT(H4*10^(-6)*$G$35*10^(-3))*10^3</f>
        <v>0.67555200207413479</v>
      </c>
      <c r="I8" s="2">
        <f>2*PI()*SQRT(I4*10^(-6)*$G$35*10^(-3))*10^3</f>
        <v>0.71653110256615404</v>
      </c>
      <c r="K8">
        <v>0.06</v>
      </c>
      <c r="L8">
        <v>0.56999999999999995</v>
      </c>
      <c r="M8">
        <v>0.59</v>
      </c>
    </row>
    <row r="9" spans="1:13" x14ac:dyDescent="0.3">
      <c r="K9">
        <v>7.0000000000000007E-2</v>
      </c>
      <c r="L9">
        <v>0.62</v>
      </c>
      <c r="M9">
        <v>0.63</v>
      </c>
    </row>
    <row r="10" spans="1:13" x14ac:dyDescent="0.3">
      <c r="A10" t="s">
        <v>7</v>
      </c>
      <c r="B10">
        <v>0.2</v>
      </c>
      <c r="K10">
        <v>0.08</v>
      </c>
      <c r="L10">
        <v>0.64</v>
      </c>
      <c r="M10">
        <v>0.68</v>
      </c>
    </row>
    <row r="11" spans="1:13" x14ac:dyDescent="0.3">
      <c r="A11" t="s">
        <v>6</v>
      </c>
      <c r="B11">
        <v>5000</v>
      </c>
      <c r="K11">
        <v>0.09</v>
      </c>
      <c r="L11">
        <v>0.73</v>
      </c>
      <c r="M11">
        <v>0.72</v>
      </c>
    </row>
    <row r="12" spans="1:13" x14ac:dyDescent="0.3">
      <c r="A12" t="s">
        <v>8</v>
      </c>
      <c r="B12">
        <f>1/(2*PI()*B11)</f>
        <v>3.1830988618379067E-5</v>
      </c>
    </row>
    <row r="13" spans="1:13" x14ac:dyDescent="0.3">
      <c r="A13" t="s">
        <v>9</v>
      </c>
      <c r="B13">
        <f>B12*B12/B10</f>
        <v>5.0660591821168882E-9</v>
      </c>
    </row>
    <row r="14" spans="1:13" x14ac:dyDescent="0.3">
      <c r="A14" t="s">
        <v>10</v>
      </c>
      <c r="B14">
        <f>2*SQRT(B10/B13)</f>
        <v>12566.370614359173</v>
      </c>
    </row>
    <row r="15" spans="1:13" x14ac:dyDescent="0.3">
      <c r="A15" t="s">
        <v>11</v>
      </c>
      <c r="B15">
        <f>B14/10</f>
        <v>1256.6370614359173</v>
      </c>
    </row>
    <row r="16" spans="1:13" x14ac:dyDescent="0.3">
      <c r="A16" t="s">
        <v>12</v>
      </c>
      <c r="B16">
        <v>1200</v>
      </c>
      <c r="C16">
        <v>1300</v>
      </c>
      <c r="D16">
        <v>1700</v>
      </c>
      <c r="E16">
        <v>2100</v>
      </c>
      <c r="F16">
        <v>2500</v>
      </c>
      <c r="G16">
        <v>2900</v>
      </c>
      <c r="H16">
        <v>3400</v>
      </c>
      <c r="I16">
        <v>3700</v>
      </c>
    </row>
    <row r="17" spans="1:12" x14ac:dyDescent="0.3">
      <c r="A17" t="s">
        <v>13</v>
      </c>
      <c r="B17">
        <v>4</v>
      </c>
      <c r="C17">
        <v>4</v>
      </c>
      <c r="D17">
        <v>4</v>
      </c>
      <c r="E17">
        <v>3.6</v>
      </c>
      <c r="F17">
        <v>4</v>
      </c>
      <c r="G17">
        <v>4</v>
      </c>
      <c r="H17">
        <v>4</v>
      </c>
      <c r="I17">
        <v>2.8</v>
      </c>
    </row>
    <row r="18" spans="1:12" x14ac:dyDescent="0.3">
      <c r="A18" t="s">
        <v>14</v>
      </c>
      <c r="B18">
        <v>0.5</v>
      </c>
      <c r="C18">
        <v>0.4</v>
      </c>
      <c r="D18">
        <v>0.5</v>
      </c>
      <c r="E18">
        <v>1</v>
      </c>
      <c r="F18">
        <v>0.2</v>
      </c>
      <c r="G18">
        <v>0.7</v>
      </c>
      <c r="H18">
        <v>0.5</v>
      </c>
      <c r="I18">
        <v>0.3</v>
      </c>
      <c r="J18">
        <f>0.1/B18</f>
        <v>0.2</v>
      </c>
    </row>
    <row r="19" spans="1:12" x14ac:dyDescent="0.3">
      <c r="A19" t="s">
        <v>0</v>
      </c>
      <c r="B19">
        <v>3</v>
      </c>
      <c r="C19">
        <v>3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</row>
    <row r="20" spans="1:12" x14ac:dyDescent="0.3">
      <c r="A20" t="s">
        <v>15</v>
      </c>
      <c r="B20" s="1">
        <f>LN(B17/B18)/B19</f>
        <v>0.69314718055994529</v>
      </c>
      <c r="C20" s="1">
        <f t="shared" ref="C20:I20" si="3">LN(C17/C18)/C19</f>
        <v>0.76752836433134863</v>
      </c>
      <c r="D20" s="1">
        <f t="shared" si="3"/>
        <v>1.0397207708399179</v>
      </c>
      <c r="E20" s="1">
        <f t="shared" si="3"/>
        <v>1.2809338454620642</v>
      </c>
      <c r="F20" s="1">
        <f t="shared" si="3"/>
        <v>1.4978661367769954</v>
      </c>
      <c r="G20" s="1">
        <f t="shared" si="3"/>
        <v>1.742969305058623</v>
      </c>
      <c r="H20" s="1">
        <f t="shared" si="3"/>
        <v>2.0794415416798357</v>
      </c>
      <c r="I20" s="1">
        <f t="shared" si="3"/>
        <v>2.2335922215070942</v>
      </c>
    </row>
    <row r="21" spans="1:12" x14ac:dyDescent="0.3">
      <c r="A21" t="s">
        <v>10</v>
      </c>
      <c r="B21">
        <f>B16*SQRT((2*PI()/B20)^2 + 1)</f>
        <v>10943.654851195246</v>
      </c>
      <c r="C21">
        <f t="shared" ref="C21:H21" si="4">C16*SQRT((2*PI()/C20)^2 + 1)</f>
        <v>10721.242897943341</v>
      </c>
      <c r="D21">
        <f t="shared" si="4"/>
        <v>10413.054937430705</v>
      </c>
      <c r="E21">
        <f t="shared" si="4"/>
        <v>10512.716922369727</v>
      </c>
      <c r="F21">
        <f t="shared" si="4"/>
        <v>10780.767314167135</v>
      </c>
      <c r="G21">
        <f t="shared" si="4"/>
        <v>10848.914705752324</v>
      </c>
      <c r="H21">
        <f t="shared" si="4"/>
        <v>10821.354496085505</v>
      </c>
      <c r="I21">
        <f>I16*SQRT((2*PI()/I20)^2 + 1)</f>
        <v>11046.341586393481</v>
      </c>
      <c r="K21">
        <f>AVERAGE(B21:I21)</f>
        <v>10761.005963917181</v>
      </c>
    </row>
    <row r="22" spans="1:12" x14ac:dyDescent="0.3">
      <c r="B22">
        <f>B21-K21</f>
        <v>182.64888727806465</v>
      </c>
      <c r="C22">
        <f t="shared" ref="C22:I22" si="5">C21-$K$21</f>
        <v>-39.763065973840639</v>
      </c>
      <c r="D22">
        <f t="shared" si="5"/>
        <v>-347.95102648647662</v>
      </c>
      <c r="E22">
        <f t="shared" si="5"/>
        <v>-248.28904154745396</v>
      </c>
      <c r="F22">
        <f t="shared" si="5"/>
        <v>19.761350249953466</v>
      </c>
      <c r="G22">
        <f t="shared" si="5"/>
        <v>87.908741835142791</v>
      </c>
      <c r="H22">
        <f t="shared" si="5"/>
        <v>60.3485321683238</v>
      </c>
      <c r="I22">
        <f t="shared" si="5"/>
        <v>285.33562247629925</v>
      </c>
    </row>
    <row r="23" spans="1:12" x14ac:dyDescent="0.3">
      <c r="B23">
        <f>B22*B22</f>
        <v>33360.616023915165</v>
      </c>
      <c r="C23">
        <f t="shared" ref="C23:I23" si="6">C22*C22</f>
        <v>1581.1014156400033</v>
      </c>
      <c r="D23">
        <f t="shared" si="6"/>
        <v>121069.91683299275</v>
      </c>
      <c r="E23">
        <f t="shared" si="6"/>
        <v>61647.448152553319</v>
      </c>
      <c r="F23">
        <f t="shared" si="6"/>
        <v>390.51096370133592</v>
      </c>
      <c r="G23">
        <f t="shared" si="6"/>
        <v>7727.9468910377846</v>
      </c>
      <c r="H23">
        <f t="shared" si="6"/>
        <v>3641.9453348712123</v>
      </c>
      <c r="I23">
        <f t="shared" si="6"/>
        <v>81416.417453937174</v>
      </c>
    </row>
    <row r="24" spans="1:12" x14ac:dyDescent="0.3">
      <c r="B24">
        <f>B22/$K$21</f>
        <v>1.6973216806170924E-2</v>
      </c>
      <c r="C24">
        <f>C22/$K$21</f>
        <v>-3.6951067685651795E-3</v>
      </c>
      <c r="D24">
        <f>D22/$K$21</f>
        <v>-3.2334433012414836E-2</v>
      </c>
      <c r="E24">
        <f>E22/$K$21</f>
        <v>-2.3073032612377878E-2</v>
      </c>
      <c r="F24">
        <f>F22/$K$21</f>
        <v>1.8363850290777101E-3</v>
      </c>
      <c r="G24">
        <f>G22/$K$21</f>
        <v>8.1691936729623906E-3</v>
      </c>
      <c r="H24">
        <f>H22/$K$21</f>
        <v>5.608075338930112E-3</v>
      </c>
      <c r="I24">
        <f>I22/$K$21</f>
        <v>2.6515701546217938E-2</v>
      </c>
    </row>
    <row r="26" spans="1:12" x14ac:dyDescent="0.3">
      <c r="B26">
        <f>SQRT(SUM(B23:I23)/8)</f>
        <v>197.11541767091961</v>
      </c>
      <c r="C26">
        <f>B26*2.36</f>
        <v>465.19238570337023</v>
      </c>
      <c r="G26" t="s">
        <v>15</v>
      </c>
      <c r="H26" t="s">
        <v>12</v>
      </c>
      <c r="I26" t="s">
        <v>21</v>
      </c>
      <c r="J26" t="s">
        <v>22</v>
      </c>
    </row>
    <row r="27" spans="1:12" x14ac:dyDescent="0.3">
      <c r="F27" t="s">
        <v>23</v>
      </c>
      <c r="G27" s="1">
        <f>I20</f>
        <v>2.2335922215070942</v>
      </c>
      <c r="H27">
        <f>I16</f>
        <v>3700</v>
      </c>
      <c r="I27">
        <f>SQRT($G$35/($B$13*1000))/H27</f>
        <v>1.4434344624601754</v>
      </c>
      <c r="J27">
        <f>PI()/G27</f>
        <v>1.4065202337918399</v>
      </c>
      <c r="K27">
        <f>I27*0.2/G27</f>
        <v>0.1292478052673583</v>
      </c>
      <c r="L27">
        <f>I27*0.5*($B$35-$G$35)/$G$35</f>
        <v>1.248645728771778E-2</v>
      </c>
    </row>
    <row r="28" spans="1:12" x14ac:dyDescent="0.3">
      <c r="A28" t="s">
        <v>12</v>
      </c>
      <c r="B28">
        <v>1200</v>
      </c>
      <c r="C28">
        <v>2500</v>
      </c>
      <c r="F28" t="s">
        <v>24</v>
      </c>
      <c r="G28" s="1">
        <f>B20</f>
        <v>0.69314718055994529</v>
      </c>
      <c r="H28">
        <f>B16</f>
        <v>1200</v>
      </c>
      <c r="I28">
        <f>SQRT($G$35/($B$13*1000))/H28</f>
        <v>4.4505895925855405</v>
      </c>
      <c r="J28">
        <f>PI()/G28</f>
        <v>4.5323601418271942</v>
      </c>
      <c r="K28">
        <f>I28*0.2/G28</f>
        <v>1.2841687068510383</v>
      </c>
      <c r="L28">
        <f>I28*0.5*($B$35-$G$35)/$G$35</f>
        <v>3.8499909970463153E-2</v>
      </c>
    </row>
    <row r="29" spans="1:12" x14ac:dyDescent="0.3">
      <c r="A29" t="s">
        <v>13</v>
      </c>
      <c r="B29">
        <v>4</v>
      </c>
      <c r="C29">
        <v>4</v>
      </c>
    </row>
    <row r="30" spans="1:12" x14ac:dyDescent="0.3">
      <c r="A30" t="s">
        <v>14</v>
      </c>
      <c r="B30">
        <v>0.5</v>
      </c>
      <c r="C30">
        <v>0.2</v>
      </c>
    </row>
    <row r="31" spans="1:12" x14ac:dyDescent="0.3">
      <c r="A31" t="s">
        <v>0</v>
      </c>
      <c r="B31">
        <v>3</v>
      </c>
      <c r="C31">
        <v>2</v>
      </c>
    </row>
    <row r="32" spans="1:12" x14ac:dyDescent="0.3">
      <c r="A32" t="s">
        <v>15</v>
      </c>
    </row>
    <row r="33" spans="1:9" x14ac:dyDescent="0.3">
      <c r="A33" t="s">
        <v>16</v>
      </c>
      <c r="B33">
        <v>50</v>
      </c>
      <c r="C33">
        <v>1000</v>
      </c>
      <c r="D33">
        <v>5000</v>
      </c>
    </row>
    <row r="34" spans="1:9" x14ac:dyDescent="0.3">
      <c r="A34" t="s">
        <v>17</v>
      </c>
      <c r="B34" s="2">
        <v>10.39</v>
      </c>
      <c r="C34" s="2">
        <v>11.4</v>
      </c>
      <c r="D34" s="2">
        <v>13.5</v>
      </c>
      <c r="G34">
        <f>2*SQRT(G35/(B13*1000))</f>
        <v>10681.415022205298</v>
      </c>
      <c r="H34">
        <f>G34*SQRT(((G35-B35)/G35)^2)</f>
        <v>184.79956785822316</v>
      </c>
      <c r="I34">
        <f>H34/G34</f>
        <v>1.7301038062283738E-2</v>
      </c>
    </row>
    <row r="35" spans="1:9" x14ac:dyDescent="0.3">
      <c r="A35" t="s">
        <v>5</v>
      </c>
      <c r="B35" s="1">
        <v>147</v>
      </c>
      <c r="C35" s="1">
        <v>143</v>
      </c>
      <c r="D35" s="1">
        <v>143.5</v>
      </c>
      <c r="F35">
        <f>D35+C35+B35</f>
        <v>433.5</v>
      </c>
      <c r="G35">
        <f>F35/3</f>
        <v>144.5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Лист3</vt:lpstr>
      <vt:lpstr>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2019-12-02T16:48:26Z</dcterms:modified>
</cp:coreProperties>
</file>