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2" sheetId="2" r:id="rId1"/>
    <sheet name="Лист3" sheetId="3" r:id="rId2"/>
  </sheets>
  <calcPr calcId="144525"/>
</workbook>
</file>

<file path=xl/calcChain.xml><?xml version="1.0" encoding="utf-8"?>
<calcChain xmlns="http://schemas.openxmlformats.org/spreadsheetml/2006/main">
  <c r="U5" i="2" l="1"/>
  <c r="T5" i="2"/>
  <c r="R2" i="2"/>
  <c r="P2" i="2"/>
  <c r="P1" i="2"/>
  <c r="T44" i="2"/>
  <c r="U43" i="2"/>
  <c r="U42" i="2"/>
  <c r="T43" i="2"/>
  <c r="S24" i="2"/>
  <c r="R24" i="2"/>
  <c r="Q24" i="2"/>
  <c r="P24" i="2"/>
  <c r="O24" i="2"/>
  <c r="N24" i="2"/>
  <c r="M24" i="2"/>
  <c r="L24" i="2"/>
  <c r="Q2" i="2"/>
  <c r="O2" i="2"/>
  <c r="L35" i="2"/>
  <c r="T42" i="2"/>
  <c r="V43" i="2" l="1"/>
  <c r="U41" i="2"/>
  <c r="T41" i="2"/>
  <c r="C46" i="2"/>
  <c r="D46" i="2"/>
  <c r="E46" i="2"/>
  <c r="F46" i="2"/>
  <c r="G46" i="2"/>
  <c r="H46" i="2"/>
  <c r="I46" i="2"/>
  <c r="C41" i="2"/>
  <c r="D41" i="2"/>
  <c r="E41" i="2"/>
  <c r="F41" i="2"/>
  <c r="G41" i="2"/>
  <c r="H41" i="2"/>
  <c r="I41" i="2"/>
  <c r="C36" i="2"/>
  <c r="D36" i="2"/>
  <c r="E36" i="2"/>
  <c r="F36" i="2"/>
  <c r="G36" i="2"/>
  <c r="H36" i="2"/>
  <c r="I36" i="2"/>
  <c r="C26" i="2"/>
  <c r="D26" i="2"/>
  <c r="E26" i="2"/>
  <c r="F26" i="2"/>
  <c r="G26" i="2"/>
  <c r="H26" i="2"/>
  <c r="I26" i="2"/>
  <c r="C21" i="2"/>
  <c r="D21" i="2"/>
  <c r="E21" i="2"/>
  <c r="F21" i="2"/>
  <c r="G21" i="2"/>
  <c r="H21" i="2"/>
  <c r="I21" i="2"/>
  <c r="C16" i="2"/>
  <c r="D16" i="2"/>
  <c r="E16" i="2"/>
  <c r="F16" i="2"/>
  <c r="G16" i="2"/>
  <c r="H16" i="2"/>
  <c r="I16" i="2"/>
  <c r="B46" i="2"/>
  <c r="B41" i="2"/>
  <c r="B36" i="2"/>
  <c r="B26" i="2"/>
  <c r="B21" i="2"/>
  <c r="B16" i="2"/>
  <c r="C9" i="2"/>
  <c r="D9" i="2"/>
  <c r="E9" i="2"/>
  <c r="F9" i="2"/>
  <c r="G9" i="2"/>
  <c r="H9" i="2"/>
  <c r="I9" i="2"/>
  <c r="B9" i="2"/>
  <c r="O1" i="2"/>
  <c r="O4" i="2"/>
  <c r="O5" i="2"/>
  <c r="O3" i="2"/>
  <c r="C54" i="2"/>
  <c r="D54" i="2"/>
  <c r="E54" i="2"/>
  <c r="F54" i="2"/>
  <c r="G54" i="2"/>
  <c r="H54" i="2"/>
  <c r="I54" i="2"/>
  <c r="C55" i="2"/>
  <c r="D55" i="2"/>
  <c r="E55" i="2"/>
  <c r="F55" i="2"/>
  <c r="G55" i="2"/>
  <c r="H55" i="2"/>
  <c r="I55" i="2"/>
  <c r="B55" i="2"/>
  <c r="B54" i="2"/>
  <c r="L38" i="2" l="1"/>
  <c r="M38" i="2"/>
  <c r="N38" i="2"/>
  <c r="O38" i="2"/>
  <c r="P38" i="2"/>
  <c r="Q38" i="2"/>
  <c r="R38" i="2"/>
  <c r="K38" i="2"/>
  <c r="C57" i="2"/>
  <c r="B57" i="2"/>
  <c r="C18" i="2" l="1"/>
  <c r="D18" i="2"/>
  <c r="E18" i="2"/>
  <c r="F18" i="2"/>
  <c r="G18" i="2"/>
  <c r="H18" i="2"/>
  <c r="I18" i="2"/>
  <c r="C23" i="2"/>
  <c r="D23" i="2"/>
  <c r="E23" i="2"/>
  <c r="F23" i="2"/>
  <c r="G23" i="2"/>
  <c r="H23" i="2"/>
  <c r="I23" i="2"/>
  <c r="C28" i="2"/>
  <c r="C31" i="2" s="1"/>
  <c r="D28" i="2"/>
  <c r="D31" i="2" s="1"/>
  <c r="E28" i="2"/>
  <c r="E31" i="2" s="1"/>
  <c r="F28" i="2"/>
  <c r="F31" i="2" s="1"/>
  <c r="G28" i="2"/>
  <c r="G31" i="2" s="1"/>
  <c r="H28" i="2"/>
  <c r="H31" i="2" s="1"/>
  <c r="I28" i="2"/>
  <c r="I31" i="2" s="1"/>
  <c r="C33" i="2"/>
  <c r="D33" i="2"/>
  <c r="E33" i="2"/>
  <c r="F33" i="2"/>
  <c r="G33" i="2"/>
  <c r="H33" i="2"/>
  <c r="I33" i="2"/>
  <c r="C38" i="2"/>
  <c r="D38" i="2"/>
  <c r="E38" i="2"/>
  <c r="F38" i="2"/>
  <c r="G38" i="2"/>
  <c r="H38" i="2"/>
  <c r="I38" i="2"/>
  <c r="C43" i="2"/>
  <c r="D43" i="2"/>
  <c r="E43" i="2"/>
  <c r="F43" i="2"/>
  <c r="G43" i="2"/>
  <c r="H43" i="2"/>
  <c r="I43" i="2"/>
  <c r="C49" i="2"/>
  <c r="D49" i="2"/>
  <c r="E49" i="2"/>
  <c r="F49" i="2"/>
  <c r="G49" i="2"/>
  <c r="H49" i="2"/>
  <c r="I49" i="2"/>
  <c r="B49" i="2"/>
  <c r="B43" i="2"/>
  <c r="B38" i="2"/>
  <c r="B33" i="2"/>
  <c r="B28" i="2"/>
  <c r="B31" i="2" s="1"/>
  <c r="B23" i="2"/>
  <c r="B18" i="2"/>
  <c r="C13" i="2"/>
  <c r="D13" i="2"/>
  <c r="E13" i="2"/>
  <c r="F13" i="2"/>
  <c r="G13" i="2"/>
  <c r="H13" i="2"/>
  <c r="I13" i="2"/>
  <c r="B13" i="2"/>
  <c r="C8" i="2"/>
  <c r="D8" i="2"/>
  <c r="E8" i="2"/>
  <c r="F8" i="2"/>
  <c r="G8" i="2"/>
  <c r="H8" i="2"/>
  <c r="I8" i="2"/>
  <c r="B8" i="2"/>
  <c r="G57" i="2" l="1"/>
  <c r="G56" i="2"/>
  <c r="G58" i="2"/>
  <c r="C56" i="2"/>
  <c r="C58" i="2"/>
  <c r="F57" i="2"/>
  <c r="F56" i="2"/>
  <c r="I57" i="2"/>
  <c r="I56" i="2"/>
  <c r="I58" i="2"/>
  <c r="B58" i="2"/>
  <c r="B59" i="2"/>
  <c r="B56" i="2"/>
  <c r="E57" i="2"/>
  <c r="E56" i="2"/>
  <c r="H57" i="2"/>
  <c r="H56" i="2"/>
  <c r="D56" i="2"/>
  <c r="D58" i="2"/>
  <c r="D5" i="2"/>
  <c r="E5" i="2"/>
  <c r="F5" i="2"/>
  <c r="G5" i="2"/>
  <c r="H5" i="2"/>
  <c r="I5" i="2"/>
  <c r="B5" i="2"/>
  <c r="H58" i="2" l="1"/>
  <c r="F58" i="2"/>
  <c r="B61" i="2"/>
  <c r="D57" i="2"/>
  <c r="B62" i="2" s="1"/>
  <c r="B60" i="2"/>
  <c r="E58" i="2"/>
  <c r="C3" i="2"/>
  <c r="C5" i="2" s="1"/>
  <c r="B63" i="2" l="1"/>
  <c r="B64" i="2" s="1"/>
  <c r="B65" i="2" s="1"/>
  <c r="D65" i="2" s="1"/>
  <c r="F64" i="2" l="1"/>
  <c r="F65" i="2" s="1"/>
  <c r="D64" i="2"/>
</calcChain>
</file>

<file path=xl/sharedStrings.xml><?xml version="1.0" encoding="utf-8"?>
<sst xmlns="http://schemas.openxmlformats.org/spreadsheetml/2006/main" count="83" uniqueCount="38">
  <si>
    <t>reverse</t>
  </si>
  <si>
    <t>I</t>
  </si>
  <si>
    <t xml:space="preserve">Imax </t>
  </si>
  <si>
    <t>SN</t>
  </si>
  <si>
    <t>см2 вит</t>
  </si>
  <si>
    <t>А</t>
  </si>
  <si>
    <t>Ф ед</t>
  </si>
  <si>
    <t>U0</t>
  </si>
  <si>
    <t>U34</t>
  </si>
  <si>
    <t>Im</t>
  </si>
  <si>
    <t>U34 мВ</t>
  </si>
  <si>
    <t>U34 -мкВ</t>
  </si>
  <si>
    <t xml:space="preserve">I </t>
  </si>
  <si>
    <t>мА</t>
  </si>
  <si>
    <t>a mm</t>
  </si>
  <si>
    <t>L mm</t>
  </si>
  <si>
    <t xml:space="preserve">l mm </t>
  </si>
  <si>
    <t>U35 мкВ</t>
  </si>
  <si>
    <t>E</t>
  </si>
  <si>
    <t>x</t>
  </si>
  <si>
    <t>y</t>
  </si>
  <si>
    <t>x2</t>
  </si>
  <si>
    <t>y2</t>
  </si>
  <si>
    <t>xy</t>
  </si>
  <si>
    <t>&lt;x&gt;</t>
  </si>
  <si>
    <t>&lt;y&gt;</t>
  </si>
  <si>
    <t>&lt;x2&gt;</t>
  </si>
  <si>
    <t>&lt;y2&gt;</t>
  </si>
  <si>
    <t>&lt;xy&gt;</t>
  </si>
  <si>
    <t>b</t>
  </si>
  <si>
    <t>a</t>
  </si>
  <si>
    <t>k</t>
  </si>
  <si>
    <t>sigma</t>
  </si>
  <si>
    <t>E/B</t>
  </si>
  <si>
    <t>E/BI</t>
  </si>
  <si>
    <t>Rx</t>
  </si>
  <si>
    <r>
      <t>I</t>
    </r>
    <r>
      <rPr>
        <sz val="11"/>
        <color theme="1"/>
        <rFont val="Calibri"/>
        <family val="2"/>
        <scheme val="minor"/>
      </rPr>
      <t>, А</t>
    </r>
  </si>
  <si>
    <r>
      <t>B</t>
    </r>
    <r>
      <rPr>
        <sz val="11"/>
        <color theme="1"/>
        <rFont val="Calibri"/>
        <family val="2"/>
        <scheme val="minor"/>
      </rPr>
      <t>, Вб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</si>
</sst>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</a:t>
            </a:r>
            <a:r>
              <a:rPr lang="en-US" baseline="0"/>
              <a:t> = B(I)</a:t>
            </a:r>
            <a:endParaRPr lang="ru-RU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675258204753167"/>
          <c:y val="2.7338548174520309E-2"/>
          <c:w val="0.81406807181211394"/>
          <c:h val="0.5890570494497030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plus"/>
            <c:size val="4"/>
          </c:marker>
          <c:trendline>
            <c:trendlineType val="linear"/>
            <c:backward val="0.2"/>
            <c:intercept val="0"/>
            <c:dispRSqr val="0"/>
            <c:dispEq val="0"/>
          </c:trendline>
          <c:errBars>
            <c:errDir val="x"/>
            <c:errBarType val="both"/>
            <c:errValType val="fixedVal"/>
            <c:noEndCap val="0"/>
            <c:val val="5.000000000000001E-2"/>
          </c:errBars>
          <c:errBars>
            <c:errDir val="y"/>
            <c:errBarType val="both"/>
            <c:errValType val="fixedVal"/>
            <c:noEndCap val="0"/>
            <c:val val="1.0000000000000002E-3"/>
          </c:errBars>
          <c:xVal>
            <c:numRef>
              <c:f>Лист2!$B$4:$G$4</c:f>
              <c:numCache>
                <c:formatCode>General</c:formatCode>
                <c:ptCount val="6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</c:numCache>
            </c:numRef>
          </c:xVal>
          <c:yVal>
            <c:numRef>
              <c:f>Лист2!$B$5:$G$5</c:f>
              <c:numCache>
                <c:formatCode>General</c:formatCode>
                <c:ptCount val="6"/>
                <c:pt idx="0">
                  <c:v>1.2E-2</c:v>
                </c:pt>
                <c:pt idx="1">
                  <c:v>2.7E-2</c:v>
                </c:pt>
                <c:pt idx="2">
                  <c:v>0.04</c:v>
                </c:pt>
                <c:pt idx="3">
                  <c:v>5.2999999999999999E-2</c:v>
                </c:pt>
                <c:pt idx="4">
                  <c:v>6.3E-2</c:v>
                </c:pt>
                <c:pt idx="5">
                  <c:v>7.2000000000000008E-2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82048"/>
        <c:axId val="186083584"/>
      </c:scatterChart>
      <c:valAx>
        <c:axId val="18608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I, </a:t>
                </a:r>
                <a:r>
                  <a:rPr lang="ru-RU"/>
                  <a:t>А</a:t>
                </a:r>
              </a:p>
            </c:rich>
          </c:tx>
          <c:layout>
            <c:manualLayout>
              <c:xMode val="edge"/>
              <c:yMode val="edge"/>
              <c:x val="0.93382937959675427"/>
              <c:y val="0.777481471338342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6083584"/>
        <c:crosses val="autoZero"/>
        <c:crossBetween val="midCat"/>
      </c:valAx>
      <c:valAx>
        <c:axId val="186083584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B, </a:t>
                </a:r>
                <a:r>
                  <a:rPr lang="ru-RU"/>
                  <a:t>Вб</a:t>
                </a:r>
              </a:p>
            </c:rich>
          </c:tx>
          <c:layout>
            <c:manualLayout>
              <c:xMode val="edge"/>
              <c:yMode val="edge"/>
              <c:x val="4.7424767444764267E-2"/>
              <c:y val="0.123605429368570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60820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i="1"/>
              <a:t>E</a:t>
            </a:r>
            <a:r>
              <a:rPr lang="en-US" i="1" baseline="0"/>
              <a:t> = E(B)</a:t>
            </a:r>
            <a:endParaRPr lang="ru-RU" i="1"/>
          </a:p>
        </c:rich>
      </c:tx>
      <c:layout>
        <c:manualLayout>
          <c:xMode val="edge"/>
          <c:yMode val="edge"/>
          <c:x val="0.43206160411383177"/>
          <c:y val="1.88146754468485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841267007716737E-2"/>
          <c:y val="0.15232191720715763"/>
          <c:w val="0.65672319225295483"/>
          <c:h val="0.80611606956790971"/>
        </c:manualLayout>
      </c:layout>
      <c:scatterChart>
        <c:scatterStyle val="lineMarker"/>
        <c:varyColors val="0"/>
        <c:ser>
          <c:idx val="0"/>
          <c:order val="0"/>
          <c:tx>
            <c:v>30 мА</c:v>
          </c:tx>
          <c:spPr>
            <a:ln w="28575">
              <a:noFill/>
            </a:ln>
          </c:spPr>
          <c:marker>
            <c:symbol val="plus"/>
            <c:size val="4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errBars>
            <c:errDir val="x"/>
            <c:errBarType val="both"/>
            <c:errValType val="percentage"/>
            <c:noEndCap val="0"/>
            <c:val val="2"/>
          </c:errBars>
          <c:errBars>
            <c:errDir val="y"/>
            <c:errBarType val="both"/>
            <c:errValType val="percentage"/>
            <c:noEndCap val="0"/>
            <c:val val="5"/>
          </c:errBars>
          <c:xVal>
            <c:numRef>
              <c:f>Лист2!$B$5:$I$5</c:f>
              <c:numCache>
                <c:formatCode>General</c:formatCode>
                <c:ptCount val="8"/>
                <c:pt idx="0">
                  <c:v>1.2E-2</c:v>
                </c:pt>
                <c:pt idx="1">
                  <c:v>2.7E-2</c:v>
                </c:pt>
                <c:pt idx="2">
                  <c:v>0.04</c:v>
                </c:pt>
                <c:pt idx="3">
                  <c:v>5.2999999999999999E-2</c:v>
                </c:pt>
                <c:pt idx="4">
                  <c:v>6.3E-2</c:v>
                </c:pt>
                <c:pt idx="5">
                  <c:v>7.2000000000000008E-2</c:v>
                </c:pt>
                <c:pt idx="6">
                  <c:v>7.6999999999999999E-2</c:v>
                </c:pt>
                <c:pt idx="7">
                  <c:v>0.08</c:v>
                </c:pt>
              </c:numCache>
            </c:numRef>
          </c:xVal>
          <c:yVal>
            <c:numRef>
              <c:f>Лист2!$B$8:$I$8</c:f>
              <c:numCache>
                <c:formatCode>General</c:formatCode>
                <c:ptCount val="8"/>
                <c:pt idx="0">
                  <c:v>-9.9999999999999915E-4</c:v>
                </c:pt>
                <c:pt idx="1">
                  <c:v>-2.1000000000000001E-2</c:v>
                </c:pt>
                <c:pt idx="2">
                  <c:v>-4.3999999999999997E-2</c:v>
                </c:pt>
                <c:pt idx="3">
                  <c:v>-6.6000000000000003E-2</c:v>
                </c:pt>
                <c:pt idx="4">
                  <c:v>-8.4999999999999992E-2</c:v>
                </c:pt>
                <c:pt idx="5">
                  <c:v>-9.8000000000000004E-2</c:v>
                </c:pt>
                <c:pt idx="6">
                  <c:v>-0.10800000000000001</c:v>
                </c:pt>
                <c:pt idx="7">
                  <c:v>-0.11499999999999999</c:v>
                </c:pt>
              </c:numCache>
            </c:numRef>
          </c:yVal>
          <c:smooth val="0"/>
        </c:ser>
        <c:ser>
          <c:idx val="1"/>
          <c:order val="1"/>
          <c:tx>
            <c:v>40 мА</c:v>
          </c:tx>
          <c:spPr>
            <a:ln w="28575">
              <a:noFill/>
            </a:ln>
          </c:spPr>
          <c:marker>
            <c:symbol val="plus"/>
            <c:size val="4"/>
          </c:marker>
          <c:trendline>
            <c:trendlineType val="linear"/>
            <c:dispRSqr val="0"/>
            <c:dispEq val="0"/>
          </c:trendline>
          <c:errBars>
            <c:errDir val="x"/>
            <c:errBarType val="both"/>
            <c:errValType val="percentage"/>
            <c:noEndCap val="0"/>
            <c:val val="2"/>
          </c:errBars>
          <c:errBars>
            <c:errDir val="y"/>
            <c:errBarType val="both"/>
            <c:errValType val="percentage"/>
            <c:noEndCap val="0"/>
            <c:val val="2"/>
          </c:errBars>
          <c:xVal>
            <c:numRef>
              <c:f>Лист2!$B$5:$I$5</c:f>
              <c:numCache>
                <c:formatCode>General</c:formatCode>
                <c:ptCount val="8"/>
                <c:pt idx="0">
                  <c:v>1.2E-2</c:v>
                </c:pt>
                <c:pt idx="1">
                  <c:v>2.7E-2</c:v>
                </c:pt>
                <c:pt idx="2">
                  <c:v>0.04</c:v>
                </c:pt>
                <c:pt idx="3">
                  <c:v>5.2999999999999999E-2</c:v>
                </c:pt>
                <c:pt idx="4">
                  <c:v>6.3E-2</c:v>
                </c:pt>
                <c:pt idx="5">
                  <c:v>7.2000000000000008E-2</c:v>
                </c:pt>
                <c:pt idx="6">
                  <c:v>7.6999999999999999E-2</c:v>
                </c:pt>
                <c:pt idx="7">
                  <c:v>0.08</c:v>
                </c:pt>
              </c:numCache>
            </c:numRef>
          </c:xVal>
          <c:yVal>
            <c:numRef>
              <c:f>Лист2!$B$13:$I$13</c:f>
              <c:numCache>
                <c:formatCode>General</c:formatCode>
                <c:ptCount val="8"/>
                <c:pt idx="0">
                  <c:v>-3.0000000000000009E-3</c:v>
                </c:pt>
                <c:pt idx="1">
                  <c:v>-3.4000000000000002E-2</c:v>
                </c:pt>
                <c:pt idx="2">
                  <c:v>-6.2E-2</c:v>
                </c:pt>
                <c:pt idx="3">
                  <c:v>-9.1999999999999998E-2</c:v>
                </c:pt>
                <c:pt idx="4">
                  <c:v>-0.115</c:v>
                </c:pt>
                <c:pt idx="5">
                  <c:v>-0.13299999999999998</c:v>
                </c:pt>
                <c:pt idx="6">
                  <c:v>-0.14499999999999999</c:v>
                </c:pt>
                <c:pt idx="7">
                  <c:v>-0.154</c:v>
                </c:pt>
              </c:numCache>
            </c:numRef>
          </c:yVal>
          <c:smooth val="0"/>
        </c:ser>
        <c:ser>
          <c:idx val="2"/>
          <c:order val="2"/>
          <c:tx>
            <c:v>50 мА</c:v>
          </c:tx>
          <c:spPr>
            <a:ln w="28575">
              <a:noFill/>
            </a:ln>
          </c:spPr>
          <c:marker>
            <c:symbol val="plus"/>
            <c:size val="4"/>
          </c:marker>
          <c:trendline>
            <c:trendlineType val="linear"/>
            <c:dispRSqr val="0"/>
            <c:dispEq val="0"/>
          </c:trendline>
          <c:errBars>
            <c:errDir val="x"/>
            <c:errBarType val="both"/>
            <c:errValType val="percentage"/>
            <c:noEndCap val="0"/>
            <c:val val="2"/>
          </c:errBars>
          <c:errBars>
            <c:errDir val="y"/>
            <c:errBarType val="both"/>
            <c:errValType val="percentage"/>
            <c:noEndCap val="0"/>
            <c:val val="2"/>
          </c:errBars>
          <c:xVal>
            <c:numRef>
              <c:f>Лист2!$B$5:$I$5</c:f>
              <c:numCache>
                <c:formatCode>General</c:formatCode>
                <c:ptCount val="8"/>
                <c:pt idx="0">
                  <c:v>1.2E-2</c:v>
                </c:pt>
                <c:pt idx="1">
                  <c:v>2.7E-2</c:v>
                </c:pt>
                <c:pt idx="2">
                  <c:v>0.04</c:v>
                </c:pt>
                <c:pt idx="3">
                  <c:v>5.2999999999999999E-2</c:v>
                </c:pt>
                <c:pt idx="4">
                  <c:v>6.3E-2</c:v>
                </c:pt>
                <c:pt idx="5">
                  <c:v>7.2000000000000008E-2</c:v>
                </c:pt>
                <c:pt idx="6">
                  <c:v>7.6999999999999999E-2</c:v>
                </c:pt>
                <c:pt idx="7">
                  <c:v>0.08</c:v>
                </c:pt>
              </c:numCache>
            </c:numRef>
          </c:xVal>
          <c:yVal>
            <c:numRef>
              <c:f>Лист2!$B$18:$I$18</c:f>
              <c:numCache>
                <c:formatCode>General</c:formatCode>
                <c:ptCount val="8"/>
                <c:pt idx="0">
                  <c:v>-6.9999999999999993E-3</c:v>
                </c:pt>
                <c:pt idx="1">
                  <c:v>-4.7E-2</c:v>
                </c:pt>
                <c:pt idx="2">
                  <c:v>-8.3000000000000004E-2</c:v>
                </c:pt>
                <c:pt idx="3">
                  <c:v>-0.11900000000000001</c:v>
                </c:pt>
                <c:pt idx="4">
                  <c:v>-0.14700000000000002</c:v>
                </c:pt>
                <c:pt idx="5">
                  <c:v>-0.17199999999999999</c:v>
                </c:pt>
                <c:pt idx="6">
                  <c:v>-0.186</c:v>
                </c:pt>
                <c:pt idx="7">
                  <c:v>-0.19400000000000001</c:v>
                </c:pt>
              </c:numCache>
            </c:numRef>
          </c:yVal>
          <c:smooth val="0"/>
        </c:ser>
        <c:ser>
          <c:idx val="3"/>
          <c:order val="3"/>
          <c:tx>
            <c:v>60 мА</c:v>
          </c:tx>
          <c:spPr>
            <a:ln w="28575">
              <a:noFill/>
            </a:ln>
          </c:spPr>
          <c:marker>
            <c:symbol val="plus"/>
            <c:size val="4"/>
          </c:marker>
          <c:trendline>
            <c:trendlineType val="linear"/>
            <c:dispRSqr val="0"/>
            <c:dispEq val="0"/>
          </c:trendline>
          <c:errBars>
            <c:errDir val="x"/>
            <c:errBarType val="both"/>
            <c:errValType val="percentage"/>
            <c:noEndCap val="0"/>
            <c:val val="2"/>
          </c:errBars>
          <c:errBars>
            <c:errDir val="y"/>
            <c:errBarType val="both"/>
            <c:errValType val="percentage"/>
            <c:noEndCap val="0"/>
            <c:val val="2"/>
          </c:errBars>
          <c:xVal>
            <c:numRef>
              <c:f>Лист2!$B$5:$I$5</c:f>
              <c:numCache>
                <c:formatCode>General</c:formatCode>
                <c:ptCount val="8"/>
                <c:pt idx="0">
                  <c:v>1.2E-2</c:v>
                </c:pt>
                <c:pt idx="1">
                  <c:v>2.7E-2</c:v>
                </c:pt>
                <c:pt idx="2">
                  <c:v>0.04</c:v>
                </c:pt>
                <c:pt idx="3">
                  <c:v>5.2999999999999999E-2</c:v>
                </c:pt>
                <c:pt idx="4">
                  <c:v>6.3E-2</c:v>
                </c:pt>
                <c:pt idx="5">
                  <c:v>7.2000000000000008E-2</c:v>
                </c:pt>
                <c:pt idx="6">
                  <c:v>7.6999999999999999E-2</c:v>
                </c:pt>
                <c:pt idx="7">
                  <c:v>0.08</c:v>
                </c:pt>
              </c:numCache>
            </c:numRef>
          </c:xVal>
          <c:yVal>
            <c:numRef>
              <c:f>Лист2!$B$23:$I$23</c:f>
              <c:numCache>
                <c:formatCode>General</c:formatCode>
                <c:ptCount val="8"/>
                <c:pt idx="0">
                  <c:v>-1.2E-2</c:v>
                </c:pt>
                <c:pt idx="1">
                  <c:v>-5.6999999999999995E-2</c:v>
                </c:pt>
                <c:pt idx="2">
                  <c:v>-0.10300000000000001</c:v>
                </c:pt>
                <c:pt idx="3">
                  <c:v>-0.14200000000000002</c:v>
                </c:pt>
                <c:pt idx="4">
                  <c:v>-0.18099999999999999</c:v>
                </c:pt>
                <c:pt idx="5">
                  <c:v>-0.20600000000000002</c:v>
                </c:pt>
                <c:pt idx="6">
                  <c:v>-0.22300000000000003</c:v>
                </c:pt>
                <c:pt idx="7">
                  <c:v>-0.23499999999999999</c:v>
                </c:pt>
              </c:numCache>
            </c:numRef>
          </c:yVal>
          <c:smooth val="0"/>
        </c:ser>
        <c:ser>
          <c:idx val="4"/>
          <c:order val="4"/>
          <c:tx>
            <c:v>70 мА</c:v>
          </c:tx>
          <c:spPr>
            <a:ln w="28575">
              <a:noFill/>
            </a:ln>
          </c:spPr>
          <c:marker>
            <c:symbol val="plus"/>
            <c:size val="4"/>
          </c:marker>
          <c:trendline>
            <c:trendlineType val="linear"/>
            <c:dispRSqr val="0"/>
            <c:dispEq val="0"/>
          </c:trendline>
          <c:errBars>
            <c:errDir val="x"/>
            <c:errBarType val="both"/>
            <c:errValType val="percentage"/>
            <c:noEndCap val="0"/>
            <c:val val="2"/>
          </c:errBars>
          <c:errBars>
            <c:errDir val="y"/>
            <c:errBarType val="both"/>
            <c:errValType val="percentage"/>
            <c:noEndCap val="0"/>
            <c:val val="2"/>
          </c:errBars>
          <c:xVal>
            <c:numRef>
              <c:f>Лист2!$B$5:$I$5</c:f>
              <c:numCache>
                <c:formatCode>General</c:formatCode>
                <c:ptCount val="8"/>
                <c:pt idx="0">
                  <c:v>1.2E-2</c:v>
                </c:pt>
                <c:pt idx="1">
                  <c:v>2.7E-2</c:v>
                </c:pt>
                <c:pt idx="2">
                  <c:v>0.04</c:v>
                </c:pt>
                <c:pt idx="3">
                  <c:v>5.2999999999999999E-2</c:v>
                </c:pt>
                <c:pt idx="4">
                  <c:v>6.3E-2</c:v>
                </c:pt>
                <c:pt idx="5">
                  <c:v>7.2000000000000008E-2</c:v>
                </c:pt>
                <c:pt idx="6">
                  <c:v>7.6999999999999999E-2</c:v>
                </c:pt>
                <c:pt idx="7">
                  <c:v>0.08</c:v>
                </c:pt>
              </c:numCache>
            </c:numRef>
          </c:xVal>
          <c:yVal>
            <c:numRef>
              <c:f>Лист2!$B$28:$I$28</c:f>
              <c:numCache>
                <c:formatCode>General</c:formatCode>
                <c:ptCount val="8"/>
                <c:pt idx="0">
                  <c:v>-1.9000000000000003E-2</c:v>
                </c:pt>
                <c:pt idx="1">
                  <c:v>-7.0000000000000007E-2</c:v>
                </c:pt>
                <c:pt idx="2">
                  <c:v>-0.12200000000000001</c:v>
                </c:pt>
                <c:pt idx="3">
                  <c:v>-0.17199999999999999</c:v>
                </c:pt>
                <c:pt idx="4">
                  <c:v>-0.21400000000000002</c:v>
                </c:pt>
                <c:pt idx="5">
                  <c:v>-0.248</c:v>
                </c:pt>
                <c:pt idx="6">
                  <c:v>-0.26800000000000002</c:v>
                </c:pt>
                <c:pt idx="7">
                  <c:v>-0.28299999999999997</c:v>
                </c:pt>
              </c:numCache>
            </c:numRef>
          </c:yVal>
          <c:smooth val="0"/>
        </c:ser>
        <c:ser>
          <c:idx val="5"/>
          <c:order val="5"/>
          <c:tx>
            <c:v>80 мА</c:v>
          </c:tx>
          <c:spPr>
            <a:ln w="28575">
              <a:noFill/>
            </a:ln>
          </c:spPr>
          <c:marker>
            <c:symbol val="plus"/>
            <c:size val="4"/>
          </c:marker>
          <c:trendline>
            <c:trendlineType val="linear"/>
            <c:dispRSqr val="0"/>
            <c:dispEq val="0"/>
          </c:trendline>
          <c:errBars>
            <c:errDir val="x"/>
            <c:errBarType val="both"/>
            <c:errValType val="percentage"/>
            <c:noEndCap val="0"/>
            <c:val val="2"/>
          </c:errBars>
          <c:errBars>
            <c:errDir val="y"/>
            <c:errBarType val="both"/>
            <c:errValType val="percentage"/>
            <c:noEndCap val="0"/>
            <c:val val="2"/>
          </c:errBars>
          <c:xVal>
            <c:numRef>
              <c:f>Лист2!$B$5:$I$5</c:f>
              <c:numCache>
                <c:formatCode>General</c:formatCode>
                <c:ptCount val="8"/>
                <c:pt idx="0">
                  <c:v>1.2E-2</c:v>
                </c:pt>
                <c:pt idx="1">
                  <c:v>2.7E-2</c:v>
                </c:pt>
                <c:pt idx="2">
                  <c:v>0.04</c:v>
                </c:pt>
                <c:pt idx="3">
                  <c:v>5.2999999999999999E-2</c:v>
                </c:pt>
                <c:pt idx="4">
                  <c:v>6.3E-2</c:v>
                </c:pt>
                <c:pt idx="5">
                  <c:v>7.2000000000000008E-2</c:v>
                </c:pt>
                <c:pt idx="6">
                  <c:v>7.6999999999999999E-2</c:v>
                </c:pt>
                <c:pt idx="7">
                  <c:v>0.08</c:v>
                </c:pt>
              </c:numCache>
            </c:numRef>
          </c:xVal>
          <c:yVal>
            <c:numRef>
              <c:f>Лист2!$B$33:$I$33</c:f>
              <c:numCache>
                <c:formatCode>General</c:formatCode>
                <c:ptCount val="8"/>
                <c:pt idx="0">
                  <c:v>-0.02</c:v>
                </c:pt>
                <c:pt idx="1">
                  <c:v>-8.3000000000000004E-2</c:v>
                </c:pt>
                <c:pt idx="2">
                  <c:v>-0.14500000000000002</c:v>
                </c:pt>
                <c:pt idx="3">
                  <c:v>-0.20400000000000001</c:v>
                </c:pt>
                <c:pt idx="4">
                  <c:v>-0.252</c:v>
                </c:pt>
                <c:pt idx="5">
                  <c:v>-0.28499999999999998</c:v>
                </c:pt>
                <c:pt idx="6">
                  <c:v>-0.30599999999999999</c:v>
                </c:pt>
                <c:pt idx="7">
                  <c:v>-0.32</c:v>
                </c:pt>
              </c:numCache>
            </c:numRef>
          </c:yVal>
          <c:smooth val="0"/>
        </c:ser>
        <c:ser>
          <c:idx val="6"/>
          <c:order val="6"/>
          <c:tx>
            <c:v>90 мА</c:v>
          </c:tx>
          <c:spPr>
            <a:ln w="28575">
              <a:noFill/>
            </a:ln>
          </c:spPr>
          <c:marker>
            <c:symbol val="plus"/>
            <c:size val="4"/>
          </c:marker>
          <c:trendline>
            <c:trendlineType val="linear"/>
            <c:dispRSqr val="0"/>
            <c:dispEq val="0"/>
          </c:trendline>
          <c:errBars>
            <c:errDir val="x"/>
            <c:errBarType val="both"/>
            <c:errValType val="percentage"/>
            <c:noEndCap val="0"/>
            <c:val val="2"/>
          </c:errBars>
          <c:errBars>
            <c:errDir val="y"/>
            <c:errBarType val="both"/>
            <c:errValType val="percentage"/>
            <c:noEndCap val="0"/>
            <c:val val="2"/>
          </c:errBars>
          <c:xVal>
            <c:numRef>
              <c:f>Лист2!$B$5:$I$5</c:f>
              <c:numCache>
                <c:formatCode>General</c:formatCode>
                <c:ptCount val="8"/>
                <c:pt idx="0">
                  <c:v>1.2E-2</c:v>
                </c:pt>
                <c:pt idx="1">
                  <c:v>2.7E-2</c:v>
                </c:pt>
                <c:pt idx="2">
                  <c:v>0.04</c:v>
                </c:pt>
                <c:pt idx="3">
                  <c:v>5.2999999999999999E-2</c:v>
                </c:pt>
                <c:pt idx="4">
                  <c:v>6.3E-2</c:v>
                </c:pt>
                <c:pt idx="5">
                  <c:v>7.2000000000000008E-2</c:v>
                </c:pt>
                <c:pt idx="6">
                  <c:v>7.6999999999999999E-2</c:v>
                </c:pt>
                <c:pt idx="7">
                  <c:v>0.08</c:v>
                </c:pt>
              </c:numCache>
            </c:numRef>
          </c:xVal>
          <c:yVal>
            <c:numRef>
              <c:f>Лист2!$B$38:$I$38</c:f>
              <c:numCache>
                <c:formatCode>General</c:formatCode>
                <c:ptCount val="8"/>
                <c:pt idx="0">
                  <c:v>-1.8000000000000002E-2</c:v>
                </c:pt>
                <c:pt idx="1">
                  <c:v>-8.7999999999999995E-2</c:v>
                </c:pt>
                <c:pt idx="2">
                  <c:v>-0.154</c:v>
                </c:pt>
                <c:pt idx="3">
                  <c:v>-0.22</c:v>
                </c:pt>
                <c:pt idx="4">
                  <c:v>-0.27499999999999997</c:v>
                </c:pt>
                <c:pt idx="5">
                  <c:v>-0.30399999999999999</c:v>
                </c:pt>
                <c:pt idx="6">
                  <c:v>-0.34299999999999997</c:v>
                </c:pt>
                <c:pt idx="7">
                  <c:v>-0.35899999999999999</c:v>
                </c:pt>
              </c:numCache>
            </c:numRef>
          </c:yVal>
          <c:smooth val="0"/>
        </c:ser>
        <c:ser>
          <c:idx val="7"/>
          <c:order val="7"/>
          <c:tx>
            <c:v>100 мА</c:v>
          </c:tx>
          <c:spPr>
            <a:ln w="28575">
              <a:noFill/>
            </a:ln>
          </c:spPr>
          <c:marker>
            <c:symbol val="plus"/>
            <c:size val="4"/>
          </c:marker>
          <c:trendline>
            <c:trendlineType val="linear"/>
            <c:dispRSqr val="0"/>
            <c:dispEq val="0"/>
          </c:trendline>
          <c:errBars>
            <c:errDir val="x"/>
            <c:errBarType val="both"/>
            <c:errValType val="percentage"/>
            <c:noEndCap val="0"/>
            <c:val val="2"/>
          </c:errBars>
          <c:errBars>
            <c:errDir val="y"/>
            <c:errBarType val="both"/>
            <c:errValType val="percentage"/>
            <c:noEndCap val="0"/>
            <c:val val="2"/>
          </c:errBars>
          <c:xVal>
            <c:numRef>
              <c:f>Лист2!$B$5:$I$5</c:f>
              <c:numCache>
                <c:formatCode>General</c:formatCode>
                <c:ptCount val="8"/>
                <c:pt idx="0">
                  <c:v>1.2E-2</c:v>
                </c:pt>
                <c:pt idx="1">
                  <c:v>2.7E-2</c:v>
                </c:pt>
                <c:pt idx="2">
                  <c:v>0.04</c:v>
                </c:pt>
                <c:pt idx="3">
                  <c:v>5.2999999999999999E-2</c:v>
                </c:pt>
                <c:pt idx="4">
                  <c:v>6.3E-2</c:v>
                </c:pt>
                <c:pt idx="5">
                  <c:v>7.2000000000000008E-2</c:v>
                </c:pt>
                <c:pt idx="6">
                  <c:v>7.6999999999999999E-2</c:v>
                </c:pt>
                <c:pt idx="7">
                  <c:v>0.08</c:v>
                </c:pt>
              </c:numCache>
            </c:numRef>
          </c:xVal>
          <c:yVal>
            <c:numRef>
              <c:f>Лист2!$B$43:$I$43</c:f>
              <c:numCache>
                <c:formatCode>General</c:formatCode>
                <c:ptCount val="8"/>
                <c:pt idx="0">
                  <c:v>-2.4000000000000004E-2</c:v>
                </c:pt>
                <c:pt idx="1">
                  <c:v>-0.10500000000000001</c:v>
                </c:pt>
                <c:pt idx="2">
                  <c:v>-0.185</c:v>
                </c:pt>
                <c:pt idx="3">
                  <c:v>-0.253</c:v>
                </c:pt>
                <c:pt idx="4">
                  <c:v>-0.312</c:v>
                </c:pt>
                <c:pt idx="5">
                  <c:v>-0.35199999999999998</c:v>
                </c:pt>
                <c:pt idx="6">
                  <c:v>-0.38</c:v>
                </c:pt>
                <c:pt idx="7">
                  <c:v>-0.39699999999999996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87296"/>
        <c:axId val="208101376"/>
      </c:scatterChart>
      <c:valAx>
        <c:axId val="20808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</a:t>
                </a:r>
                <a:r>
                  <a:rPr lang="en-US"/>
                  <a:t>,</a:t>
                </a:r>
                <a:r>
                  <a:rPr lang="en-US" baseline="0"/>
                  <a:t> </a:t>
                </a:r>
                <a:r>
                  <a:rPr lang="ru-RU" baseline="0"/>
                  <a:t>Вб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5236584652848171"/>
              <c:y val="0.2092578022331343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8101376"/>
        <c:crosses val="autoZero"/>
        <c:crossBetween val="midCat"/>
      </c:valAx>
      <c:valAx>
        <c:axId val="208101376"/>
        <c:scaling>
          <c:orientation val="minMax"/>
          <c:min val="-0.45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E,</a:t>
                </a:r>
                <a:r>
                  <a:rPr lang="en-US" baseline="0"/>
                  <a:t> </a:t>
                </a:r>
                <a:r>
                  <a:rPr lang="ru-RU" baseline="0"/>
                  <a:t>мВ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5.4498124781684538E-2"/>
              <c:y val="0.100993572104789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8087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</a:t>
            </a:r>
            <a:r>
              <a:rPr lang="en-US" baseline="0"/>
              <a:t> = k(I)</a:t>
            </a:r>
            <a:endParaRPr lang="ru-RU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0398517111853839E-2"/>
          <c:y val="0.16727471322698914"/>
          <c:w val="0.84916512345648087"/>
          <c:h val="0.7309083662631006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plus"/>
            <c:size val="4"/>
          </c:marker>
          <c:trendline>
            <c:trendlineType val="linear"/>
            <c:backward val="3.0000000000000006E-2"/>
            <c:intercept val="0"/>
            <c:dispRSqr val="0"/>
            <c:dispEq val="0"/>
          </c:trendline>
          <c:errBars>
            <c:errDir val="x"/>
            <c:errBarType val="both"/>
            <c:errValType val="fixedVal"/>
            <c:noEndCap val="0"/>
            <c:val val="1.0000000000000002E-3"/>
          </c:errBars>
          <c:errBars>
            <c:errDir val="y"/>
            <c:errBarType val="both"/>
            <c:errValType val="fixedVal"/>
            <c:noEndCap val="0"/>
            <c:val val="2.5000000000000005E-2"/>
          </c:errBars>
          <c:xVal>
            <c:numRef>
              <c:f>Лист2!$K$38:$R$38</c:f>
              <c:numCache>
                <c:formatCode>General</c:formatCode>
                <c:ptCount val="8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</c:numCache>
            </c:numRef>
          </c:xVal>
          <c:yVal>
            <c:numRef>
              <c:f>Лист2!$K$40:$R$40</c:f>
              <c:numCache>
                <c:formatCode>General</c:formatCode>
                <c:ptCount val="8"/>
                <c:pt idx="0">
                  <c:v>-1.69</c:v>
                </c:pt>
                <c:pt idx="1">
                  <c:v>-2.21</c:v>
                </c:pt>
                <c:pt idx="2">
                  <c:v>-2.76</c:v>
                </c:pt>
                <c:pt idx="3">
                  <c:v>-3.29</c:v>
                </c:pt>
                <c:pt idx="4">
                  <c:v>-3.9</c:v>
                </c:pt>
                <c:pt idx="5">
                  <c:v>-4.4400000000000004</c:v>
                </c:pt>
                <c:pt idx="6">
                  <c:v>-4.99</c:v>
                </c:pt>
                <c:pt idx="7">
                  <c:v>-5.48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13664"/>
        <c:axId val="208115200"/>
      </c:scatterChart>
      <c:valAx>
        <c:axId val="20811366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I,</a:t>
                </a:r>
                <a:r>
                  <a:rPr lang="en-US" baseline="0"/>
                  <a:t> </a:t>
                </a:r>
                <a:r>
                  <a:rPr lang="ru-RU" baseline="0"/>
                  <a:t>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4139161253824788"/>
              <c:y val="0.1503451938090309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8115200"/>
        <c:crosses val="autoZero"/>
        <c:crossBetween val="midCat"/>
      </c:valAx>
      <c:valAx>
        <c:axId val="208115200"/>
        <c:scaling>
          <c:orientation val="minMax"/>
          <c:max val="0"/>
          <c:min val="-6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E/B, </a:t>
                </a:r>
                <a:r>
                  <a:rPr lang="ru-RU"/>
                  <a:t>мВ</a:t>
                </a:r>
                <a:r>
                  <a:rPr lang="en-US"/>
                  <a:t>/</a:t>
                </a:r>
                <a:r>
                  <a:rPr lang="ru-RU"/>
                  <a:t>Вб</a:t>
                </a:r>
              </a:p>
            </c:rich>
          </c:tx>
          <c:layout>
            <c:manualLayout>
              <c:xMode val="edge"/>
              <c:yMode val="edge"/>
              <c:x val="1.2041022699008933E-2"/>
              <c:y val="0.919692373910711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8113664"/>
        <c:crosses val="autoZero"/>
        <c:crossBetween val="midCat"/>
        <c:min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523539</xdr:colOff>
      <xdr:row>13</xdr:row>
      <xdr:rowOff>126850</xdr:rowOff>
    </xdr:from>
    <xdr:to>
      <xdr:col>27</xdr:col>
      <xdr:colOff>114300</xdr:colOff>
      <xdr:row>29</xdr:row>
      <xdr:rowOff>121920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447402</xdr:colOff>
      <xdr:row>52</xdr:row>
      <xdr:rowOff>66404</xdr:rowOff>
    </xdr:from>
    <xdr:to>
      <xdr:col>31</xdr:col>
      <xdr:colOff>273103</xdr:colOff>
      <xdr:row>80</xdr:row>
      <xdr:rowOff>142604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293914</xdr:colOff>
      <xdr:row>56</xdr:row>
      <xdr:rowOff>21770</xdr:rowOff>
    </xdr:from>
    <xdr:to>
      <xdr:col>19</xdr:col>
      <xdr:colOff>566057</xdr:colOff>
      <xdr:row>73</xdr:row>
      <xdr:rowOff>185056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tabSelected="1" topLeftCell="F1" zoomScaleNormal="100" workbookViewId="0">
      <selection activeCell="U6" sqref="U6"/>
    </sheetView>
  </sheetViews>
  <sheetFormatPr defaultRowHeight="14.4" x14ac:dyDescent="0.3"/>
  <cols>
    <col min="2" max="2" width="9.6640625" bestFit="1" customWidth="1"/>
    <col min="20" max="22" width="12" bestFit="1" customWidth="1"/>
  </cols>
  <sheetData>
    <row r="1" spans="1:21" x14ac:dyDescent="0.3">
      <c r="A1" t="s">
        <v>2</v>
      </c>
      <c r="B1">
        <v>1.63</v>
      </c>
      <c r="C1" t="s">
        <v>5</v>
      </c>
      <c r="L1" t="s">
        <v>1</v>
      </c>
      <c r="M1">
        <v>1</v>
      </c>
      <c r="N1" t="s">
        <v>13</v>
      </c>
      <c r="O1">
        <f t="shared" ref="O1:O2" si="0">M1*0.001</f>
        <v>1E-3</v>
      </c>
      <c r="P1">
        <f>0.00002</f>
        <v>2.0000000000000002E-5</v>
      </c>
    </row>
    <row r="2" spans="1:21" x14ac:dyDescent="0.3">
      <c r="A2" t="s">
        <v>3</v>
      </c>
      <c r="B2">
        <v>72</v>
      </c>
      <c r="C2" t="s">
        <v>4</v>
      </c>
      <c r="L2" t="s">
        <v>17</v>
      </c>
      <c r="M2">
        <v>1666</v>
      </c>
      <c r="O2">
        <f>M2*0.000001</f>
        <v>1.6659999999999999E-3</v>
      </c>
      <c r="P2">
        <f>10^(-6)</f>
        <v>9.9999999999999995E-7</v>
      </c>
      <c r="Q2">
        <f>O1*O4/(O2*O3*O5)</f>
        <v>706.16481886872396</v>
      </c>
      <c r="R2">
        <f>SQRT((P2/O2)^2 + (P1/O1)^2) *Q2</f>
        <v>14.129655516553909</v>
      </c>
    </row>
    <row r="3" spans="1:21" x14ac:dyDescent="0.3">
      <c r="A3" t="s">
        <v>6</v>
      </c>
      <c r="B3">
        <v>12</v>
      </c>
      <c r="C3">
        <f>37-10</f>
        <v>27</v>
      </c>
      <c r="D3">
        <v>40</v>
      </c>
      <c r="E3">
        <v>53</v>
      </c>
      <c r="F3">
        <v>63</v>
      </c>
      <c r="G3">
        <v>72</v>
      </c>
      <c r="H3">
        <v>77</v>
      </c>
      <c r="I3">
        <v>80</v>
      </c>
      <c r="L3" t="s">
        <v>14</v>
      </c>
      <c r="M3">
        <v>1.5</v>
      </c>
      <c r="O3">
        <f>M3*0.001</f>
        <v>1.5E-3</v>
      </c>
    </row>
    <row r="4" spans="1:21" x14ac:dyDescent="0.3">
      <c r="A4" s="1" t="s">
        <v>36</v>
      </c>
      <c r="B4">
        <v>0.2</v>
      </c>
      <c r="C4">
        <v>0.4</v>
      </c>
      <c r="D4">
        <v>0.6</v>
      </c>
      <c r="E4">
        <v>0.8</v>
      </c>
      <c r="F4">
        <v>1</v>
      </c>
      <c r="G4">
        <v>1.2</v>
      </c>
      <c r="H4">
        <v>1.4</v>
      </c>
      <c r="I4">
        <v>1.6</v>
      </c>
      <c r="L4" t="s">
        <v>15</v>
      </c>
      <c r="M4">
        <v>3</v>
      </c>
      <c r="O4">
        <f t="shared" ref="O4:O5" si="1">M4*0.001</f>
        <v>3.0000000000000001E-3</v>
      </c>
    </row>
    <row r="5" spans="1:21" x14ac:dyDescent="0.3">
      <c r="A5" s="1" t="s">
        <v>37</v>
      </c>
      <c r="B5">
        <f>B3*0.001</f>
        <v>1.2E-2</v>
      </c>
      <c r="C5">
        <f t="shared" ref="C5:I5" si="2">C3*0.001</f>
        <v>2.7E-2</v>
      </c>
      <c r="D5">
        <f t="shared" si="2"/>
        <v>0.04</v>
      </c>
      <c r="E5">
        <f t="shared" si="2"/>
        <v>5.2999999999999999E-2</v>
      </c>
      <c r="F5">
        <f t="shared" si="2"/>
        <v>6.3E-2</v>
      </c>
      <c r="G5">
        <f t="shared" si="2"/>
        <v>7.2000000000000008E-2</v>
      </c>
      <c r="H5">
        <f t="shared" si="2"/>
        <v>7.6999999999999999E-2</v>
      </c>
      <c r="I5">
        <f t="shared" si="2"/>
        <v>0.08</v>
      </c>
      <c r="L5" t="s">
        <v>16</v>
      </c>
      <c r="M5">
        <v>1.7</v>
      </c>
      <c r="O5">
        <f t="shared" si="1"/>
        <v>1.6999999999999999E-3</v>
      </c>
      <c r="T5">
        <f>Q2*T42</f>
        <v>5.8576371725160649E-2</v>
      </c>
      <c r="U5">
        <f>SQRT((R2/Q2)^2+(U42/T42)^2)*T5</f>
        <v>1.3725898696895136E-3</v>
      </c>
    </row>
    <row r="7" spans="1:21" x14ac:dyDescent="0.3">
      <c r="A7" t="s">
        <v>7</v>
      </c>
      <c r="B7">
        <v>8.0000000000000002E-3</v>
      </c>
      <c r="C7" t="s">
        <v>9</v>
      </c>
      <c r="D7">
        <v>30</v>
      </c>
    </row>
    <row r="8" spans="1:21" x14ac:dyDescent="0.3">
      <c r="A8" t="s">
        <v>18</v>
      </c>
      <c r="B8">
        <f t="shared" ref="B8:I8" si="3">1*(B10+$B$7)</f>
        <v>-9.9999999999999915E-4</v>
      </c>
      <c r="C8">
        <f t="shared" si="3"/>
        <v>-2.1000000000000001E-2</v>
      </c>
      <c r="D8">
        <f t="shared" si="3"/>
        <v>-4.3999999999999997E-2</v>
      </c>
      <c r="E8">
        <f t="shared" si="3"/>
        <v>-6.6000000000000003E-2</v>
      </c>
      <c r="F8">
        <f t="shared" si="3"/>
        <v>-8.4999999999999992E-2</v>
      </c>
      <c r="G8">
        <f t="shared" si="3"/>
        <v>-9.8000000000000004E-2</v>
      </c>
      <c r="H8">
        <f t="shared" si="3"/>
        <v>-0.10800000000000001</v>
      </c>
      <c r="I8">
        <f t="shared" si="3"/>
        <v>-0.11499999999999999</v>
      </c>
    </row>
    <row r="9" spans="1:21" x14ac:dyDescent="0.3">
      <c r="B9">
        <f>B8/1000</f>
        <v>-9.9999999999999911E-7</v>
      </c>
      <c r="C9">
        <f t="shared" ref="C9:I9" si="4">C8/1000</f>
        <v>-2.1000000000000002E-5</v>
      </c>
      <c r="D9">
        <f t="shared" si="4"/>
        <v>-4.3999999999999999E-5</v>
      </c>
      <c r="E9">
        <f t="shared" si="4"/>
        <v>-6.6000000000000005E-5</v>
      </c>
      <c r="F9">
        <f t="shared" si="4"/>
        <v>-8.4999999999999993E-5</v>
      </c>
      <c r="G9">
        <f t="shared" si="4"/>
        <v>-9.800000000000001E-5</v>
      </c>
      <c r="H9">
        <f t="shared" si="4"/>
        <v>-1.0800000000000001E-4</v>
      </c>
      <c r="I9">
        <f t="shared" si="4"/>
        <v>-1.1499999999999999E-4</v>
      </c>
      <c r="L9" t="s">
        <v>9</v>
      </c>
      <c r="M9" t="s">
        <v>7</v>
      </c>
      <c r="N9" t="s">
        <v>8</v>
      </c>
    </row>
    <row r="10" spans="1:21" x14ac:dyDescent="0.3">
      <c r="A10" t="s">
        <v>10</v>
      </c>
      <c r="B10">
        <v>-8.9999999999999993E-3</v>
      </c>
      <c r="C10">
        <v>-2.9000000000000001E-2</v>
      </c>
      <c r="D10">
        <v>-5.1999999999999998E-2</v>
      </c>
      <c r="E10">
        <v>-7.3999999999999996E-2</v>
      </c>
      <c r="F10">
        <v>-9.2999999999999999E-2</v>
      </c>
      <c r="G10">
        <v>-0.106</v>
      </c>
      <c r="H10">
        <v>-0.11600000000000001</v>
      </c>
      <c r="I10">
        <v>-0.123</v>
      </c>
      <c r="L10">
        <v>30</v>
      </c>
      <c r="M10">
        <v>8</v>
      </c>
      <c r="N10">
        <v>9</v>
      </c>
      <c r="O10">
        <v>29</v>
      </c>
      <c r="P10">
        <v>52</v>
      </c>
      <c r="Q10">
        <v>74</v>
      </c>
      <c r="R10">
        <v>93</v>
      </c>
      <c r="S10">
        <v>106</v>
      </c>
      <c r="T10">
        <v>116</v>
      </c>
      <c r="U10">
        <v>123</v>
      </c>
    </row>
    <row r="11" spans="1:21" x14ac:dyDescent="0.3">
      <c r="A11" t="s">
        <v>1</v>
      </c>
      <c r="B11">
        <v>0.2</v>
      </c>
      <c r="C11">
        <v>0.4</v>
      </c>
      <c r="D11">
        <v>0.6</v>
      </c>
      <c r="E11">
        <v>0.8</v>
      </c>
      <c r="F11">
        <v>1</v>
      </c>
      <c r="G11">
        <v>1.2</v>
      </c>
      <c r="H11">
        <v>1.4</v>
      </c>
      <c r="I11">
        <v>1.57</v>
      </c>
      <c r="L11">
        <v>40</v>
      </c>
      <c r="M11">
        <v>13</v>
      </c>
      <c r="N11">
        <v>16</v>
      </c>
      <c r="O11">
        <v>47</v>
      </c>
      <c r="P11">
        <v>75</v>
      </c>
      <c r="Q11">
        <v>105</v>
      </c>
      <c r="R11">
        <v>128</v>
      </c>
      <c r="S11">
        <v>146</v>
      </c>
      <c r="T11">
        <v>158</v>
      </c>
      <c r="U11">
        <v>167</v>
      </c>
    </row>
    <row r="12" spans="1:21" x14ac:dyDescent="0.3">
      <c r="A12" t="s">
        <v>7</v>
      </c>
      <c r="B12">
        <v>1.2999999999999999E-2</v>
      </c>
      <c r="C12" t="s">
        <v>9</v>
      </c>
      <c r="D12">
        <v>40</v>
      </c>
      <c r="L12">
        <v>50</v>
      </c>
      <c r="M12">
        <v>15</v>
      </c>
      <c r="N12">
        <v>22</v>
      </c>
      <c r="O12">
        <v>62</v>
      </c>
      <c r="P12">
        <v>98</v>
      </c>
      <c r="Q12">
        <v>134</v>
      </c>
      <c r="R12">
        <v>162</v>
      </c>
      <c r="S12">
        <v>187</v>
      </c>
      <c r="T12">
        <v>201</v>
      </c>
      <c r="U12">
        <v>209</v>
      </c>
    </row>
    <row r="13" spans="1:21" x14ac:dyDescent="0.3">
      <c r="A13" t="s">
        <v>18</v>
      </c>
      <c r="B13">
        <f>-B14*0.001+$B$12</f>
        <v>-3.0000000000000009E-3</v>
      </c>
      <c r="C13">
        <f t="shared" ref="C13:I13" si="5">-C14*0.001+$B$12</f>
        <v>-3.4000000000000002E-2</v>
      </c>
      <c r="D13">
        <f t="shared" si="5"/>
        <v>-6.2E-2</v>
      </c>
      <c r="E13">
        <f t="shared" si="5"/>
        <v>-9.1999999999999998E-2</v>
      </c>
      <c r="F13">
        <f t="shared" si="5"/>
        <v>-0.115</v>
      </c>
      <c r="G13">
        <f t="shared" si="5"/>
        <v>-0.13299999999999998</v>
      </c>
      <c r="H13">
        <f t="shared" si="5"/>
        <v>-0.14499999999999999</v>
      </c>
      <c r="I13">
        <f t="shared" si="5"/>
        <v>-0.154</v>
      </c>
      <c r="L13">
        <v>60</v>
      </c>
      <c r="M13">
        <v>16</v>
      </c>
      <c r="N13">
        <v>28</v>
      </c>
      <c r="O13">
        <v>73</v>
      </c>
      <c r="P13">
        <v>119</v>
      </c>
      <c r="Q13">
        <v>158</v>
      </c>
      <c r="R13">
        <v>197</v>
      </c>
      <c r="S13">
        <v>222</v>
      </c>
      <c r="T13">
        <v>239</v>
      </c>
      <c r="U13">
        <v>251</v>
      </c>
    </row>
    <row r="14" spans="1:21" x14ac:dyDescent="0.3">
      <c r="A14" t="s">
        <v>11</v>
      </c>
      <c r="B14">
        <v>16</v>
      </c>
      <c r="C14">
        <v>47</v>
      </c>
      <c r="D14">
        <v>75</v>
      </c>
      <c r="E14">
        <v>105</v>
      </c>
      <c r="F14">
        <v>128</v>
      </c>
      <c r="G14">
        <v>146</v>
      </c>
      <c r="H14">
        <v>158</v>
      </c>
      <c r="I14">
        <v>167</v>
      </c>
      <c r="L14">
        <v>70</v>
      </c>
      <c r="M14">
        <v>18</v>
      </c>
      <c r="N14">
        <v>34</v>
      </c>
      <c r="O14">
        <v>85</v>
      </c>
      <c r="P14">
        <v>137</v>
      </c>
      <c r="Q14">
        <v>187</v>
      </c>
      <c r="R14">
        <v>229</v>
      </c>
      <c r="S14">
        <v>263</v>
      </c>
      <c r="T14">
        <v>283</v>
      </c>
      <c r="U14">
        <v>298</v>
      </c>
    </row>
    <row r="15" spans="1:21" x14ac:dyDescent="0.3">
      <c r="A15" t="s">
        <v>1</v>
      </c>
      <c r="B15">
        <v>0.2</v>
      </c>
      <c r="C15">
        <v>0.4</v>
      </c>
      <c r="D15">
        <v>0.6</v>
      </c>
      <c r="E15">
        <v>0.8</v>
      </c>
      <c r="F15">
        <v>1</v>
      </c>
      <c r="G15">
        <v>1.2</v>
      </c>
      <c r="H15">
        <v>1.4</v>
      </c>
      <c r="I15">
        <v>1.57</v>
      </c>
      <c r="L15">
        <v>80</v>
      </c>
      <c r="M15">
        <v>21</v>
      </c>
      <c r="N15">
        <v>41</v>
      </c>
      <c r="O15">
        <v>104</v>
      </c>
      <c r="P15">
        <v>166</v>
      </c>
      <c r="Q15">
        <v>225</v>
      </c>
      <c r="R15">
        <v>273</v>
      </c>
      <c r="S15">
        <v>306</v>
      </c>
      <c r="T15">
        <v>327</v>
      </c>
      <c r="U15">
        <v>341</v>
      </c>
    </row>
    <row r="16" spans="1:21" x14ac:dyDescent="0.3">
      <c r="B16">
        <f>B13/1000</f>
        <v>-3.0000000000000009E-6</v>
      </c>
      <c r="C16">
        <f t="shared" ref="C16:I16" si="6">C13/1000</f>
        <v>-3.4E-5</v>
      </c>
      <c r="D16">
        <f t="shared" si="6"/>
        <v>-6.2000000000000003E-5</v>
      </c>
      <c r="E16">
        <f t="shared" si="6"/>
        <v>-9.2E-5</v>
      </c>
      <c r="F16">
        <f t="shared" si="6"/>
        <v>-1.15E-4</v>
      </c>
      <c r="G16">
        <f t="shared" si="6"/>
        <v>-1.3299999999999998E-4</v>
      </c>
      <c r="H16">
        <f t="shared" si="6"/>
        <v>-1.45E-4</v>
      </c>
      <c r="I16">
        <f t="shared" si="6"/>
        <v>-1.54E-4</v>
      </c>
      <c r="L16">
        <v>90</v>
      </c>
      <c r="M16">
        <v>23</v>
      </c>
      <c r="N16">
        <v>41</v>
      </c>
      <c r="O16">
        <v>111</v>
      </c>
      <c r="P16">
        <v>177</v>
      </c>
      <c r="Q16">
        <v>243</v>
      </c>
      <c r="R16">
        <v>298</v>
      </c>
      <c r="S16">
        <v>327</v>
      </c>
      <c r="T16">
        <v>366</v>
      </c>
      <c r="U16">
        <v>382</v>
      </c>
    </row>
    <row r="17" spans="1:21" x14ac:dyDescent="0.3">
      <c r="A17" t="s">
        <v>7</v>
      </c>
      <c r="B17">
        <v>1.4999999999999999E-2</v>
      </c>
      <c r="C17" t="s">
        <v>9</v>
      </c>
      <c r="D17">
        <v>50</v>
      </c>
      <c r="L17">
        <v>100</v>
      </c>
      <c r="M17">
        <v>26</v>
      </c>
      <c r="N17">
        <v>50</v>
      </c>
      <c r="O17">
        <v>131</v>
      </c>
      <c r="P17">
        <v>211</v>
      </c>
      <c r="Q17">
        <v>279</v>
      </c>
      <c r="R17">
        <v>338</v>
      </c>
      <c r="S17">
        <v>378</v>
      </c>
      <c r="T17">
        <v>406</v>
      </c>
      <c r="U17">
        <v>423</v>
      </c>
    </row>
    <row r="18" spans="1:21" x14ac:dyDescent="0.3">
      <c r="A18" t="s">
        <v>18</v>
      </c>
      <c r="B18">
        <f>-B19*0.001+$B$17</f>
        <v>-6.9999999999999993E-3</v>
      </c>
      <c r="C18">
        <f t="shared" ref="C18:I18" si="7">-C19*0.001+$B$17</f>
        <v>-4.7E-2</v>
      </c>
      <c r="D18">
        <f t="shared" si="7"/>
        <v>-8.3000000000000004E-2</v>
      </c>
      <c r="E18">
        <f t="shared" si="7"/>
        <v>-0.11900000000000001</v>
      </c>
      <c r="F18">
        <f t="shared" si="7"/>
        <v>-0.14700000000000002</v>
      </c>
      <c r="G18">
        <f t="shared" si="7"/>
        <v>-0.17199999999999999</v>
      </c>
      <c r="H18">
        <f t="shared" si="7"/>
        <v>-0.186</v>
      </c>
      <c r="I18">
        <f t="shared" si="7"/>
        <v>-0.19400000000000001</v>
      </c>
      <c r="L18">
        <v>100</v>
      </c>
      <c r="M18">
        <v>45</v>
      </c>
      <c r="N18">
        <v>131</v>
      </c>
      <c r="O18">
        <v>205</v>
      </c>
      <c r="P18">
        <v>282</v>
      </c>
      <c r="Q18">
        <v>353</v>
      </c>
      <c r="R18">
        <v>412</v>
      </c>
      <c r="S18">
        <v>453</v>
      </c>
      <c r="T18">
        <v>483</v>
      </c>
      <c r="U18">
        <v>500</v>
      </c>
    </row>
    <row r="19" spans="1:21" x14ac:dyDescent="0.3">
      <c r="A19" t="s">
        <v>10</v>
      </c>
      <c r="B19">
        <v>22</v>
      </c>
      <c r="C19">
        <v>62</v>
      </c>
      <c r="D19">
        <v>98</v>
      </c>
      <c r="E19">
        <v>134</v>
      </c>
      <c r="F19">
        <v>162</v>
      </c>
      <c r="G19">
        <v>187</v>
      </c>
      <c r="H19">
        <v>201</v>
      </c>
      <c r="I19">
        <v>209</v>
      </c>
    </row>
    <row r="20" spans="1:21" x14ac:dyDescent="0.3">
      <c r="A20" t="s">
        <v>1</v>
      </c>
      <c r="B20">
        <v>0.2</v>
      </c>
      <c r="C20">
        <v>0.4</v>
      </c>
      <c r="D20">
        <v>0.6</v>
      </c>
      <c r="E20">
        <v>0.8</v>
      </c>
      <c r="F20">
        <v>1</v>
      </c>
      <c r="G20">
        <v>1.2</v>
      </c>
      <c r="H20">
        <v>1.4</v>
      </c>
      <c r="I20">
        <v>1.57</v>
      </c>
    </row>
    <row r="21" spans="1:21" x14ac:dyDescent="0.3">
      <c r="B21">
        <f>B18/1000</f>
        <v>-6.999999999999999E-6</v>
      </c>
      <c r="C21">
        <f t="shared" ref="C21:I21" si="8">C18/1000</f>
        <v>-4.6999999999999997E-5</v>
      </c>
      <c r="D21">
        <f t="shared" si="8"/>
        <v>-8.2999999999999998E-5</v>
      </c>
      <c r="E21">
        <f t="shared" si="8"/>
        <v>-1.1900000000000001E-4</v>
      </c>
      <c r="F21">
        <f t="shared" si="8"/>
        <v>-1.4700000000000002E-4</v>
      </c>
      <c r="G21">
        <f t="shared" si="8"/>
        <v>-1.7199999999999998E-4</v>
      </c>
      <c r="H21">
        <f t="shared" si="8"/>
        <v>-1.8599999999999999E-4</v>
      </c>
      <c r="I21">
        <f t="shared" si="8"/>
        <v>-1.94E-4</v>
      </c>
    </row>
    <row r="22" spans="1:21" x14ac:dyDescent="0.3">
      <c r="A22" t="s">
        <v>7</v>
      </c>
      <c r="B22">
        <v>1.6E-2</v>
      </c>
      <c r="C22" t="s">
        <v>9</v>
      </c>
      <c r="D22">
        <v>60</v>
      </c>
      <c r="K22" t="s">
        <v>31</v>
      </c>
      <c r="L22">
        <v>-1.69</v>
      </c>
      <c r="M22">
        <v>-2.21</v>
      </c>
      <c r="N22">
        <v>-2.76</v>
      </c>
      <c r="O22">
        <v>-3.29</v>
      </c>
      <c r="P22">
        <v>-3.9</v>
      </c>
      <c r="Q22">
        <v>-4.4400000000000004</v>
      </c>
      <c r="R22">
        <v>-4.99</v>
      </c>
      <c r="S22">
        <v>-5.48</v>
      </c>
    </row>
    <row r="23" spans="1:21" x14ac:dyDescent="0.3">
      <c r="A23" t="s">
        <v>18</v>
      </c>
      <c r="B23">
        <f>-B24*0.001+$B$22</f>
        <v>-1.2E-2</v>
      </c>
      <c r="C23">
        <f t="shared" ref="C23:I23" si="9">-C24*0.001+$B$22</f>
        <v>-5.6999999999999995E-2</v>
      </c>
      <c r="D23">
        <f t="shared" si="9"/>
        <v>-0.10300000000000001</v>
      </c>
      <c r="E23">
        <f t="shared" si="9"/>
        <v>-0.14200000000000002</v>
      </c>
      <c r="F23">
        <f t="shared" si="9"/>
        <v>-0.18099999999999999</v>
      </c>
      <c r="G23">
        <f t="shared" si="9"/>
        <v>-0.20600000000000002</v>
      </c>
      <c r="H23">
        <f t="shared" si="9"/>
        <v>-0.22300000000000003</v>
      </c>
      <c r="I23">
        <f t="shared" si="9"/>
        <v>-0.23499999999999999</v>
      </c>
      <c r="K23" t="s">
        <v>9</v>
      </c>
      <c r="L23">
        <v>0.03</v>
      </c>
      <c r="M23">
        <v>0.04</v>
      </c>
      <c r="N23">
        <v>0.05</v>
      </c>
      <c r="O23">
        <v>0.06</v>
      </c>
      <c r="P23">
        <v>7.0000000000000007E-2</v>
      </c>
      <c r="Q23">
        <v>0.08</v>
      </c>
      <c r="R23">
        <v>0.09</v>
      </c>
      <c r="S23">
        <v>0.1</v>
      </c>
    </row>
    <row r="24" spans="1:21" x14ac:dyDescent="0.3">
      <c r="A24" t="s">
        <v>10</v>
      </c>
      <c r="B24">
        <v>28</v>
      </c>
      <c r="C24">
        <v>73</v>
      </c>
      <c r="D24">
        <v>119</v>
      </c>
      <c r="E24">
        <v>158</v>
      </c>
      <c r="F24">
        <v>197</v>
      </c>
      <c r="G24">
        <v>222</v>
      </c>
      <c r="H24">
        <v>239</v>
      </c>
      <c r="I24">
        <v>251</v>
      </c>
      <c r="L24">
        <f>L25*0.001</f>
        <v>0</v>
      </c>
      <c r="M24">
        <f t="shared" ref="M24:S24" si="10">M25*0.001</f>
        <v>0</v>
      </c>
      <c r="N24">
        <f t="shared" si="10"/>
        <v>0</v>
      </c>
      <c r="O24">
        <f t="shared" si="10"/>
        <v>0</v>
      </c>
      <c r="P24">
        <f t="shared" si="10"/>
        <v>0</v>
      </c>
      <c r="Q24">
        <f t="shared" si="10"/>
        <v>0</v>
      </c>
      <c r="R24">
        <f t="shared" si="10"/>
        <v>0</v>
      </c>
      <c r="S24">
        <f t="shared" si="10"/>
        <v>0</v>
      </c>
    </row>
    <row r="25" spans="1:21" x14ac:dyDescent="0.3">
      <c r="A25" t="s">
        <v>1</v>
      </c>
      <c r="B25">
        <v>0.2</v>
      </c>
      <c r="C25">
        <v>0.4</v>
      </c>
      <c r="D25">
        <v>0.6</v>
      </c>
      <c r="E25">
        <v>0.8</v>
      </c>
      <c r="F25">
        <v>1</v>
      </c>
      <c r="G25">
        <v>1.2</v>
      </c>
      <c r="H25">
        <v>1.4</v>
      </c>
      <c r="I25">
        <v>1.57</v>
      </c>
    </row>
    <row r="26" spans="1:21" x14ac:dyDescent="0.3">
      <c r="B26">
        <f>B23/1000</f>
        <v>-1.2E-5</v>
      </c>
      <c r="C26">
        <f t="shared" ref="C26:I26" si="11">C23/1000</f>
        <v>-5.6999999999999996E-5</v>
      </c>
      <c r="D26">
        <f t="shared" si="11"/>
        <v>-1.0300000000000001E-4</v>
      </c>
      <c r="E26">
        <f t="shared" si="11"/>
        <v>-1.4200000000000001E-4</v>
      </c>
      <c r="F26">
        <f t="shared" si="11"/>
        <v>-1.8099999999999998E-4</v>
      </c>
      <c r="G26">
        <f t="shared" si="11"/>
        <v>-2.0600000000000002E-4</v>
      </c>
      <c r="H26">
        <f t="shared" si="11"/>
        <v>-2.2300000000000003E-4</v>
      </c>
      <c r="I26">
        <f t="shared" si="11"/>
        <v>-2.3499999999999999E-4</v>
      </c>
    </row>
    <row r="27" spans="1:21" x14ac:dyDescent="0.3">
      <c r="A27" t="s">
        <v>7</v>
      </c>
      <c r="B27">
        <v>1.7999999999999999E-2</v>
      </c>
      <c r="C27" t="s">
        <v>9</v>
      </c>
      <c r="D27">
        <v>70</v>
      </c>
    </row>
    <row r="28" spans="1:21" x14ac:dyDescent="0.3">
      <c r="A28" t="s">
        <v>18</v>
      </c>
      <c r="B28">
        <f>-B29*0.001+$B$17</f>
        <v>-1.9000000000000003E-2</v>
      </c>
      <c r="C28">
        <f t="shared" ref="C28:I28" si="12">-C29*0.001+$B$17</f>
        <v>-7.0000000000000007E-2</v>
      </c>
      <c r="D28">
        <f t="shared" si="12"/>
        <v>-0.12200000000000001</v>
      </c>
      <c r="E28">
        <f t="shared" si="12"/>
        <v>-0.17199999999999999</v>
      </c>
      <c r="F28">
        <f t="shared" si="12"/>
        <v>-0.21400000000000002</v>
      </c>
      <c r="G28">
        <f t="shared" si="12"/>
        <v>-0.248</v>
      </c>
      <c r="H28">
        <f t="shared" si="12"/>
        <v>-0.26800000000000002</v>
      </c>
      <c r="I28">
        <f t="shared" si="12"/>
        <v>-0.28299999999999997</v>
      </c>
    </row>
    <row r="29" spans="1:21" x14ac:dyDescent="0.3">
      <c r="A29" t="s">
        <v>10</v>
      </c>
      <c r="B29">
        <v>34</v>
      </c>
      <c r="C29">
        <v>85</v>
      </c>
      <c r="D29">
        <v>137</v>
      </c>
      <c r="E29">
        <v>187</v>
      </c>
      <c r="F29">
        <v>229</v>
      </c>
      <c r="G29">
        <v>263</v>
      </c>
      <c r="H29">
        <v>283</v>
      </c>
      <c r="I29">
        <v>298</v>
      </c>
    </row>
    <row r="30" spans="1:21" x14ac:dyDescent="0.3">
      <c r="A30" t="s">
        <v>1</v>
      </c>
      <c r="B30">
        <v>0.2</v>
      </c>
      <c r="C30">
        <v>0.4</v>
      </c>
      <c r="D30">
        <v>0.6</v>
      </c>
      <c r="E30">
        <v>0.8</v>
      </c>
      <c r="F30">
        <v>1</v>
      </c>
      <c r="G30">
        <v>1.2</v>
      </c>
      <c r="H30">
        <v>1.4</v>
      </c>
      <c r="I30">
        <v>1.57</v>
      </c>
    </row>
    <row r="31" spans="1:21" x14ac:dyDescent="0.3">
      <c r="B31">
        <f>B28/1000</f>
        <v>-1.9000000000000004E-5</v>
      </c>
      <c r="C31">
        <f t="shared" ref="C31:I31" si="13">C28/1000</f>
        <v>-7.0000000000000007E-5</v>
      </c>
      <c r="D31">
        <f t="shared" si="13"/>
        <v>-1.2200000000000001E-4</v>
      </c>
      <c r="E31">
        <f t="shared" si="13"/>
        <v>-1.7199999999999998E-4</v>
      </c>
      <c r="F31">
        <f t="shared" si="13"/>
        <v>-2.1400000000000002E-4</v>
      </c>
      <c r="G31">
        <f t="shared" si="13"/>
        <v>-2.4800000000000001E-4</v>
      </c>
      <c r="H31">
        <f t="shared" si="13"/>
        <v>-2.6800000000000001E-4</v>
      </c>
      <c r="I31">
        <f t="shared" si="13"/>
        <v>-2.8299999999999999E-4</v>
      </c>
    </row>
    <row r="32" spans="1:21" x14ac:dyDescent="0.3">
      <c r="A32" t="s">
        <v>7</v>
      </c>
      <c r="B32">
        <v>2.1000000000000001E-2</v>
      </c>
      <c r="C32" t="s">
        <v>9</v>
      </c>
      <c r="D32">
        <v>80</v>
      </c>
    </row>
    <row r="33" spans="1:22" x14ac:dyDescent="0.3">
      <c r="A33" t="s">
        <v>18</v>
      </c>
      <c r="B33">
        <f>-B34*0.001+$B$32</f>
        <v>-0.02</v>
      </c>
      <c r="C33">
        <f t="shared" ref="C33:I33" si="14">-C34*0.001+$B$32</f>
        <v>-8.3000000000000004E-2</v>
      </c>
      <c r="D33">
        <f t="shared" si="14"/>
        <v>-0.14500000000000002</v>
      </c>
      <c r="E33">
        <f t="shared" si="14"/>
        <v>-0.20400000000000001</v>
      </c>
      <c r="F33">
        <f t="shared" si="14"/>
        <v>-0.252</v>
      </c>
      <c r="G33">
        <f t="shared" si="14"/>
        <v>-0.28499999999999998</v>
      </c>
      <c r="H33">
        <f t="shared" si="14"/>
        <v>-0.30599999999999999</v>
      </c>
      <c r="I33">
        <f t="shared" si="14"/>
        <v>-0.32</v>
      </c>
    </row>
    <row r="34" spans="1:22" x14ac:dyDescent="0.3">
      <c r="A34" t="s">
        <v>10</v>
      </c>
      <c r="B34">
        <v>41</v>
      </c>
      <c r="C34">
        <v>104</v>
      </c>
      <c r="D34">
        <v>166</v>
      </c>
      <c r="E34">
        <v>225</v>
      </c>
      <c r="F34">
        <v>273</v>
      </c>
      <c r="G34">
        <v>306</v>
      </c>
      <c r="H34">
        <v>327</v>
      </c>
      <c r="I34">
        <v>341</v>
      </c>
    </row>
    <row r="35" spans="1:22" x14ac:dyDescent="0.3">
      <c r="A35" t="s">
        <v>1</v>
      </c>
      <c r="B35">
        <v>0.2</v>
      </c>
      <c r="C35">
        <v>0.4</v>
      </c>
      <c r="D35">
        <v>0.6</v>
      </c>
      <c r="E35">
        <v>0.8</v>
      </c>
      <c r="F35">
        <v>1</v>
      </c>
      <c r="G35">
        <v>1.2</v>
      </c>
      <c r="H35">
        <v>1.4</v>
      </c>
      <c r="I35">
        <v>1.57</v>
      </c>
      <c r="L35">
        <f>K41/K40</f>
        <v>-1.4792899408284025E-2</v>
      </c>
    </row>
    <row r="36" spans="1:22" x14ac:dyDescent="0.3">
      <c r="B36">
        <f>B33/1000</f>
        <v>-2.0000000000000002E-5</v>
      </c>
      <c r="C36">
        <f t="shared" ref="C36:I36" si="15">C33/1000</f>
        <v>-8.2999999999999998E-5</v>
      </c>
      <c r="D36">
        <f t="shared" si="15"/>
        <v>-1.4500000000000003E-4</v>
      </c>
      <c r="E36">
        <f t="shared" si="15"/>
        <v>-2.0400000000000003E-4</v>
      </c>
      <c r="F36">
        <f t="shared" si="15"/>
        <v>-2.52E-4</v>
      </c>
      <c r="G36">
        <f t="shared" si="15"/>
        <v>-2.8499999999999999E-4</v>
      </c>
      <c r="H36">
        <f t="shared" si="15"/>
        <v>-3.0600000000000001E-4</v>
      </c>
      <c r="I36">
        <f t="shared" si="15"/>
        <v>-3.2000000000000003E-4</v>
      </c>
    </row>
    <row r="37" spans="1:22" x14ac:dyDescent="0.3">
      <c r="A37" t="s">
        <v>7</v>
      </c>
      <c r="B37">
        <v>2.3E-2</v>
      </c>
      <c r="C37" t="s">
        <v>9</v>
      </c>
      <c r="D37">
        <v>90</v>
      </c>
    </row>
    <row r="38" spans="1:22" x14ac:dyDescent="0.3">
      <c r="A38" t="s">
        <v>18</v>
      </c>
      <c r="B38">
        <f>-B39*0.001+$B$37</f>
        <v>-1.8000000000000002E-2</v>
      </c>
      <c r="C38">
        <f t="shared" ref="C38:I38" si="16">-C39*0.001+$B$37</f>
        <v>-8.7999999999999995E-2</v>
      </c>
      <c r="D38">
        <f t="shared" si="16"/>
        <v>-0.154</v>
      </c>
      <c r="E38">
        <f t="shared" si="16"/>
        <v>-0.22</v>
      </c>
      <c r="F38">
        <f t="shared" si="16"/>
        <v>-0.27499999999999997</v>
      </c>
      <c r="G38">
        <f t="shared" si="16"/>
        <v>-0.30399999999999999</v>
      </c>
      <c r="H38">
        <f t="shared" si="16"/>
        <v>-0.34299999999999997</v>
      </c>
      <c r="I38">
        <f t="shared" si="16"/>
        <v>-0.35899999999999999</v>
      </c>
      <c r="K38">
        <f>K39*0.001</f>
        <v>0.03</v>
      </c>
      <c r="L38">
        <f t="shared" ref="L38:R38" si="17">L39*0.001</f>
        <v>0.04</v>
      </c>
      <c r="M38">
        <f t="shared" si="17"/>
        <v>0.05</v>
      </c>
      <c r="N38">
        <f t="shared" si="17"/>
        <v>0.06</v>
      </c>
      <c r="O38">
        <f t="shared" si="17"/>
        <v>7.0000000000000007E-2</v>
      </c>
      <c r="P38">
        <f t="shared" si="17"/>
        <v>0.08</v>
      </c>
      <c r="Q38">
        <f t="shared" si="17"/>
        <v>0.09</v>
      </c>
      <c r="R38">
        <f t="shared" si="17"/>
        <v>0.1</v>
      </c>
    </row>
    <row r="39" spans="1:22" x14ac:dyDescent="0.3">
      <c r="A39" t="s">
        <v>10</v>
      </c>
      <c r="B39">
        <v>41</v>
      </c>
      <c r="C39">
        <v>111</v>
      </c>
      <c r="D39">
        <v>177</v>
      </c>
      <c r="E39">
        <v>243</v>
      </c>
      <c r="F39">
        <v>298</v>
      </c>
      <c r="G39">
        <v>327</v>
      </c>
      <c r="H39">
        <v>366</v>
      </c>
      <c r="I39">
        <v>382</v>
      </c>
      <c r="K39">
        <v>30</v>
      </c>
      <c r="L39">
        <v>40</v>
      </c>
      <c r="M39">
        <v>50</v>
      </c>
      <c r="N39">
        <v>60</v>
      </c>
      <c r="O39">
        <v>70</v>
      </c>
      <c r="P39">
        <v>80</v>
      </c>
      <c r="Q39">
        <v>90</v>
      </c>
      <c r="R39">
        <v>100</v>
      </c>
    </row>
    <row r="40" spans="1:22" x14ac:dyDescent="0.3">
      <c r="A40" t="s">
        <v>1</v>
      </c>
      <c r="B40">
        <v>0.2</v>
      </c>
      <c r="C40">
        <v>0.4</v>
      </c>
      <c r="D40">
        <v>0.6</v>
      </c>
      <c r="E40">
        <v>0.8</v>
      </c>
      <c r="F40">
        <v>1</v>
      </c>
      <c r="G40">
        <v>1.2</v>
      </c>
      <c r="H40">
        <v>1.4</v>
      </c>
      <c r="I40">
        <v>1.55</v>
      </c>
      <c r="J40" t="s">
        <v>33</v>
      </c>
      <c r="K40">
        <v>-1.69</v>
      </c>
      <c r="L40">
        <v>-2.21</v>
      </c>
      <c r="M40">
        <v>-2.76</v>
      </c>
      <c r="N40">
        <v>-3.29</v>
      </c>
      <c r="O40">
        <v>-3.9</v>
      </c>
      <c r="P40">
        <v>-4.4400000000000004</v>
      </c>
      <c r="Q40">
        <v>-4.99</v>
      </c>
      <c r="R40">
        <v>-5.48</v>
      </c>
      <c r="S40" t="s">
        <v>34</v>
      </c>
      <c r="T40">
        <v>-55.3</v>
      </c>
      <c r="U40">
        <v>0.1</v>
      </c>
    </row>
    <row r="41" spans="1:22" x14ac:dyDescent="0.3">
      <c r="B41">
        <f>B38/1000</f>
        <v>-1.8E-5</v>
      </c>
      <c r="C41">
        <f t="shared" ref="C41:I41" si="18">C38/1000</f>
        <v>-8.7999999999999998E-5</v>
      </c>
      <c r="D41">
        <f t="shared" si="18"/>
        <v>-1.54E-4</v>
      </c>
      <c r="E41">
        <f t="shared" si="18"/>
        <v>-2.2000000000000001E-4</v>
      </c>
      <c r="F41">
        <f t="shared" si="18"/>
        <v>-2.7499999999999996E-4</v>
      </c>
      <c r="G41">
        <f t="shared" si="18"/>
        <v>-3.0400000000000002E-4</v>
      </c>
      <c r="H41">
        <f t="shared" si="18"/>
        <v>-3.4299999999999999E-4</v>
      </c>
      <c r="I41">
        <f t="shared" si="18"/>
        <v>-3.59E-4</v>
      </c>
      <c r="K41">
        <v>2.5000000000000001E-2</v>
      </c>
      <c r="L41">
        <v>2.5000000000000001E-2</v>
      </c>
      <c r="M41">
        <v>2.5000000000000001E-2</v>
      </c>
      <c r="N41">
        <v>2.5000000000000001E-2</v>
      </c>
      <c r="O41">
        <v>2.5000000000000001E-2</v>
      </c>
      <c r="P41">
        <v>2.5000000000000001E-2</v>
      </c>
      <c r="Q41">
        <v>2.5000000000000001E-2</v>
      </c>
      <c r="R41">
        <v>2.5000000000000001E-2</v>
      </c>
      <c r="T41">
        <f>T40/1000</f>
        <v>-5.5299999999999995E-2</v>
      </c>
      <c r="U41">
        <f>U40/1000</f>
        <v>1E-4</v>
      </c>
    </row>
    <row r="42" spans="1:22" x14ac:dyDescent="0.3">
      <c r="A42" t="s">
        <v>7</v>
      </c>
      <c r="B42">
        <v>2.5999999999999999E-2</v>
      </c>
      <c r="C42" t="s">
        <v>9</v>
      </c>
      <c r="D42">
        <v>100</v>
      </c>
      <c r="S42" t="s">
        <v>35</v>
      </c>
      <c r="T42">
        <f>T41*M3/(-1000)</f>
        <v>8.2949999999999997E-5</v>
      </c>
      <c r="U42">
        <f>T42/82</f>
        <v>1.0115853658536586E-6</v>
      </c>
      <c r="V42">
        <v>36900</v>
      </c>
    </row>
    <row r="43" spans="1:22" x14ac:dyDescent="0.3">
      <c r="A43" t="s">
        <v>18</v>
      </c>
      <c r="B43">
        <f>-B44*0.001+$B$42</f>
        <v>-2.4000000000000004E-2</v>
      </c>
      <c r="C43">
        <f t="shared" ref="C43:I43" si="19">-C44*0.001+$B$42</f>
        <v>-0.10500000000000001</v>
      </c>
      <c r="D43">
        <f t="shared" si="19"/>
        <v>-0.185</v>
      </c>
      <c r="E43">
        <f t="shared" si="19"/>
        <v>-0.253</v>
      </c>
      <c r="F43">
        <f t="shared" si="19"/>
        <v>-0.312</v>
      </c>
      <c r="G43">
        <f t="shared" si="19"/>
        <v>-0.35199999999999998</v>
      </c>
      <c r="H43">
        <f t="shared" si="19"/>
        <v>-0.38</v>
      </c>
      <c r="I43">
        <f t="shared" si="19"/>
        <v>-0.39699999999999996</v>
      </c>
      <c r="T43">
        <f>10^19/(1.6*T42)</f>
        <v>7.5346594333936113E+22</v>
      </c>
      <c r="U43">
        <f>10^19/(1.6*V42)</f>
        <v>169376693766937.66</v>
      </c>
      <c r="V43">
        <f>U42/V42*U43</f>
        <v>4643.3329195477163</v>
      </c>
    </row>
    <row r="44" spans="1:22" x14ac:dyDescent="0.3">
      <c r="A44" t="s">
        <v>10</v>
      </c>
      <c r="B44">
        <v>50</v>
      </c>
      <c r="C44">
        <v>131</v>
      </c>
      <c r="D44">
        <v>211</v>
      </c>
      <c r="E44">
        <v>279</v>
      </c>
      <c r="F44">
        <v>338</v>
      </c>
      <c r="G44">
        <v>378</v>
      </c>
      <c r="H44">
        <v>406</v>
      </c>
      <c r="I44">
        <v>423</v>
      </c>
      <c r="T44">
        <f>T43*U42/T42</f>
        <v>9.1886090651141616E+20</v>
      </c>
    </row>
    <row r="45" spans="1:22" x14ac:dyDescent="0.3">
      <c r="A45" t="s">
        <v>1</v>
      </c>
      <c r="B45">
        <v>0.2</v>
      </c>
      <c r="C45">
        <v>0.4</v>
      </c>
      <c r="D45">
        <v>0.6</v>
      </c>
      <c r="E45">
        <v>0.8</v>
      </c>
      <c r="F45">
        <v>1</v>
      </c>
      <c r="G45">
        <v>1.2</v>
      </c>
      <c r="H45">
        <v>1.4</v>
      </c>
      <c r="I45">
        <v>1.55</v>
      </c>
    </row>
    <row r="46" spans="1:22" x14ac:dyDescent="0.3">
      <c r="B46">
        <f>B43/1000</f>
        <v>-2.4000000000000004E-5</v>
      </c>
      <c r="C46">
        <f t="shared" ref="C46:I46" si="20">C43/1000</f>
        <v>-1.05E-4</v>
      </c>
      <c r="D46">
        <f t="shared" si="20"/>
        <v>-1.85E-4</v>
      </c>
      <c r="E46">
        <f t="shared" si="20"/>
        <v>-2.5300000000000002E-4</v>
      </c>
      <c r="F46">
        <f t="shared" si="20"/>
        <v>-3.1199999999999999E-4</v>
      </c>
      <c r="G46">
        <f t="shared" si="20"/>
        <v>-3.5199999999999999E-4</v>
      </c>
      <c r="H46">
        <f t="shared" si="20"/>
        <v>-3.8000000000000002E-4</v>
      </c>
      <c r="I46">
        <f t="shared" si="20"/>
        <v>-3.9699999999999995E-4</v>
      </c>
    </row>
    <row r="47" spans="1:22" x14ac:dyDescent="0.3">
      <c r="A47" t="s">
        <v>0</v>
      </c>
    </row>
    <row r="48" spans="1:22" x14ac:dyDescent="0.3">
      <c r="A48" t="s">
        <v>7</v>
      </c>
      <c r="B48">
        <v>4.4999999999999998E-2</v>
      </c>
      <c r="C48" t="s">
        <v>9</v>
      </c>
      <c r="D48">
        <v>100</v>
      </c>
    </row>
    <row r="49" spans="1:9" x14ac:dyDescent="0.3">
      <c r="A49" t="s">
        <v>18</v>
      </c>
      <c r="B49">
        <f>-B50*0.001+$B$48</f>
        <v>-8.6000000000000007E-2</v>
      </c>
      <c r="C49">
        <f t="shared" ref="C49:I49" si="21">-C50*0.001+$B$48</f>
        <v>-0.16000000000000003</v>
      </c>
      <c r="D49">
        <f t="shared" si="21"/>
        <v>-0.23700000000000004</v>
      </c>
      <c r="E49">
        <f t="shared" si="21"/>
        <v>-0.308</v>
      </c>
      <c r="F49">
        <f t="shared" si="21"/>
        <v>-0.36700000000000005</v>
      </c>
      <c r="G49">
        <f t="shared" si="21"/>
        <v>-0.40800000000000003</v>
      </c>
      <c r="H49">
        <f t="shared" si="21"/>
        <v>-0.438</v>
      </c>
      <c r="I49">
        <f t="shared" si="21"/>
        <v>-0.45500000000000002</v>
      </c>
    </row>
    <row r="50" spans="1:9" x14ac:dyDescent="0.3">
      <c r="A50" t="s">
        <v>8</v>
      </c>
      <c r="B50">
        <v>131</v>
      </c>
      <c r="C50">
        <v>205</v>
      </c>
      <c r="D50">
        <v>282</v>
      </c>
      <c r="E50">
        <v>353</v>
      </c>
      <c r="F50">
        <v>412</v>
      </c>
      <c r="G50">
        <v>453</v>
      </c>
      <c r="H50">
        <v>483</v>
      </c>
      <c r="I50">
        <v>500</v>
      </c>
    </row>
    <row r="51" spans="1:9" x14ac:dyDescent="0.3">
      <c r="A51" t="s">
        <v>12</v>
      </c>
      <c r="B51">
        <v>0.2</v>
      </c>
      <c r="C51">
        <v>0.4</v>
      </c>
      <c r="D51">
        <v>0.6</v>
      </c>
      <c r="E51">
        <v>0.8</v>
      </c>
      <c r="F51">
        <v>1</v>
      </c>
      <c r="G51">
        <v>1.2</v>
      </c>
      <c r="H51">
        <v>1.4</v>
      </c>
      <c r="I51">
        <v>1.55</v>
      </c>
    </row>
    <row r="54" spans="1:9" x14ac:dyDescent="0.3">
      <c r="A54" t="s">
        <v>19</v>
      </c>
      <c r="B54">
        <f>K38</f>
        <v>0.03</v>
      </c>
      <c r="C54">
        <f t="shared" ref="C54:I54" si="22">L38</f>
        <v>0.04</v>
      </c>
      <c r="D54">
        <f t="shared" si="22"/>
        <v>0.05</v>
      </c>
      <c r="E54">
        <f t="shared" si="22"/>
        <v>0.06</v>
      </c>
      <c r="F54">
        <f t="shared" si="22"/>
        <v>7.0000000000000007E-2</v>
      </c>
      <c r="G54">
        <f t="shared" si="22"/>
        <v>0.08</v>
      </c>
      <c r="H54">
        <f t="shared" si="22"/>
        <v>0.09</v>
      </c>
      <c r="I54">
        <f t="shared" si="22"/>
        <v>0.1</v>
      </c>
    </row>
    <row r="55" spans="1:9" x14ac:dyDescent="0.3">
      <c r="A55" t="s">
        <v>20</v>
      </c>
      <c r="B55">
        <f>K40</f>
        <v>-1.69</v>
      </c>
      <c r="C55">
        <f t="shared" ref="C55:I55" si="23">L40</f>
        <v>-2.21</v>
      </c>
      <c r="D55">
        <f t="shared" si="23"/>
        <v>-2.76</v>
      </c>
      <c r="E55">
        <f t="shared" si="23"/>
        <v>-3.29</v>
      </c>
      <c r="F55">
        <f t="shared" si="23"/>
        <v>-3.9</v>
      </c>
      <c r="G55">
        <f t="shared" si="23"/>
        <v>-4.4400000000000004</v>
      </c>
      <c r="H55">
        <f t="shared" si="23"/>
        <v>-4.99</v>
      </c>
      <c r="I55">
        <f t="shared" si="23"/>
        <v>-5.48</v>
      </c>
    </row>
    <row r="56" spans="1:9" x14ac:dyDescent="0.3">
      <c r="A56" t="s">
        <v>21</v>
      </c>
      <c r="B56">
        <f t="shared" ref="B56:I57" si="24">B54*B54</f>
        <v>8.9999999999999998E-4</v>
      </c>
      <c r="C56">
        <f t="shared" si="24"/>
        <v>1.6000000000000001E-3</v>
      </c>
      <c r="D56">
        <f t="shared" si="24"/>
        <v>2.5000000000000005E-3</v>
      </c>
      <c r="E56">
        <f t="shared" si="24"/>
        <v>3.5999999999999999E-3</v>
      </c>
      <c r="F56">
        <f t="shared" si="24"/>
        <v>4.9000000000000007E-3</v>
      </c>
      <c r="G56">
        <f t="shared" si="24"/>
        <v>6.4000000000000003E-3</v>
      </c>
      <c r="H56">
        <f t="shared" si="24"/>
        <v>8.0999999999999996E-3</v>
      </c>
      <c r="I56">
        <f t="shared" si="24"/>
        <v>1.0000000000000002E-2</v>
      </c>
    </row>
    <row r="57" spans="1:9" x14ac:dyDescent="0.3">
      <c r="A57" t="s">
        <v>22</v>
      </c>
      <c r="B57">
        <f t="shared" si="24"/>
        <v>2.8560999999999996</v>
      </c>
      <c r="C57">
        <f t="shared" si="24"/>
        <v>4.8841000000000001</v>
      </c>
      <c r="D57">
        <f t="shared" si="24"/>
        <v>7.6175999999999986</v>
      </c>
      <c r="E57">
        <f t="shared" si="24"/>
        <v>10.8241</v>
      </c>
      <c r="F57">
        <f t="shared" si="24"/>
        <v>15.209999999999999</v>
      </c>
      <c r="G57">
        <f t="shared" si="24"/>
        <v>19.713600000000003</v>
      </c>
      <c r="H57">
        <f t="shared" si="24"/>
        <v>24.900100000000002</v>
      </c>
      <c r="I57">
        <f t="shared" si="24"/>
        <v>30.030400000000004</v>
      </c>
    </row>
    <row r="58" spans="1:9" x14ac:dyDescent="0.3">
      <c r="A58" t="s">
        <v>23</v>
      </c>
      <c r="B58">
        <f t="shared" ref="B58:I58" si="25">B54*B55</f>
        <v>-5.0699999999999995E-2</v>
      </c>
      <c r="C58">
        <f t="shared" si="25"/>
        <v>-8.8400000000000006E-2</v>
      </c>
      <c r="D58">
        <f t="shared" si="25"/>
        <v>-0.13799999999999998</v>
      </c>
      <c r="E58">
        <f t="shared" si="25"/>
        <v>-0.19739999999999999</v>
      </c>
      <c r="F58">
        <f t="shared" si="25"/>
        <v>-0.27300000000000002</v>
      </c>
      <c r="G58">
        <f t="shared" si="25"/>
        <v>-0.35520000000000002</v>
      </c>
      <c r="H58">
        <f t="shared" si="25"/>
        <v>-0.4491</v>
      </c>
      <c r="I58">
        <f t="shared" si="25"/>
        <v>-0.54800000000000004</v>
      </c>
    </row>
    <row r="59" spans="1:9" x14ac:dyDescent="0.3">
      <c r="A59" t="s">
        <v>24</v>
      </c>
      <c r="B59">
        <f>SUM(B54:I54)/8</f>
        <v>6.5000000000000002E-2</v>
      </c>
    </row>
    <row r="60" spans="1:9" x14ac:dyDescent="0.3">
      <c r="A60" t="s">
        <v>25</v>
      </c>
      <c r="B60">
        <f>SUM(B55:I55)/8</f>
        <v>-3.5950000000000002</v>
      </c>
    </row>
    <row r="61" spans="1:9" x14ac:dyDescent="0.3">
      <c r="A61" t="s">
        <v>26</v>
      </c>
      <c r="B61">
        <f>SUM(B56:I56)/8</f>
        <v>4.7500000000000007E-3</v>
      </c>
    </row>
    <row r="62" spans="1:9" x14ac:dyDescent="0.3">
      <c r="A62" t="s">
        <v>27</v>
      </c>
      <c r="B62">
        <f>SUM(B57:I57)/8</f>
        <v>14.504500000000002</v>
      </c>
    </row>
    <row r="63" spans="1:9" x14ac:dyDescent="0.3">
      <c r="A63" t="s">
        <v>28</v>
      </c>
      <c r="B63">
        <f>SUM(B58:I58)/8</f>
        <v>-0.26247500000000001</v>
      </c>
    </row>
    <row r="64" spans="1:9" x14ac:dyDescent="0.3">
      <c r="A64" t="s">
        <v>29</v>
      </c>
      <c r="B64">
        <f>(B63-B59*B60)/(B61-B59*B59)</f>
        <v>-54.857142857142811</v>
      </c>
      <c r="C64" t="s">
        <v>30</v>
      </c>
      <c r="D64">
        <f>B60-B64*B59</f>
        <v>-2.9285714285717468E-2</v>
      </c>
      <c r="E64" t="s">
        <v>31</v>
      </c>
      <c r="F64">
        <f>B63/B61</f>
        <v>-55.257894736842097</v>
      </c>
    </row>
    <row r="65" spans="1:6" x14ac:dyDescent="0.3">
      <c r="A65" t="s">
        <v>32</v>
      </c>
      <c r="B65">
        <f>SQRT(((B62-B60*B60)/(B61-B59*B59) - B64*B64)/18)</f>
        <v>0.24971639242176508</v>
      </c>
      <c r="C65" t="s">
        <v>32</v>
      </c>
      <c r="D65">
        <f>B65*SQRT(B61)</f>
        <v>1.7210514636688514E-2</v>
      </c>
      <c r="E65" t="s">
        <v>32</v>
      </c>
      <c r="F65">
        <f>SQRT((B62/B61) - F64*F64)/SQRT(15)</f>
        <v>9.7985243956871637E-2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2019-09-16T19:59:14Z</dcterms:modified>
</cp:coreProperties>
</file>