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calcChain.xml><?xml version="1.0" encoding="utf-8"?>
<calcChain xmlns="http://schemas.openxmlformats.org/spreadsheetml/2006/main">
  <c r="J48" i="2" l="1"/>
  <c r="I49" i="2"/>
  <c r="I48" i="2"/>
  <c r="L39" i="2"/>
  <c r="L41" i="2" s="1"/>
  <c r="L42" i="2"/>
  <c r="I45" i="2"/>
  <c r="L40" i="2"/>
  <c r="L38" i="2"/>
  <c r="G45" i="2"/>
  <c r="I46" i="2" s="1"/>
  <c r="H43" i="2"/>
  <c r="G43" i="2"/>
  <c r="C52" i="2"/>
  <c r="C51" i="2"/>
  <c r="C50" i="2"/>
  <c r="B51" i="2"/>
  <c r="B50" i="2"/>
  <c r="C45" i="2"/>
  <c r="C46" i="2" s="1"/>
  <c r="B52" i="2"/>
  <c r="B46" i="2"/>
  <c r="B44" i="2"/>
  <c r="B28" i="2"/>
  <c r="B27" i="2"/>
  <c r="B20" i="2"/>
  <c r="B26" i="2"/>
  <c r="C26" i="2"/>
  <c r="C17" i="2"/>
  <c r="D17" i="2"/>
  <c r="D15" i="2" s="1"/>
  <c r="E17" i="2"/>
  <c r="E15" i="2" s="1"/>
  <c r="F17" i="2"/>
  <c r="G17" i="2"/>
  <c r="H17" i="2"/>
  <c r="I17" i="2"/>
  <c r="I15" i="2" s="1"/>
  <c r="B17" i="2"/>
  <c r="B15" i="2" s="1"/>
  <c r="C15" i="2"/>
  <c r="F15" i="2"/>
  <c r="G15" i="2"/>
  <c r="H15" i="2"/>
  <c r="B45" i="2"/>
  <c r="I32" i="2" l="1"/>
  <c r="I31" i="2"/>
  <c r="I33" i="2" s="1"/>
  <c r="E34" i="2"/>
  <c r="E35" i="2"/>
  <c r="E36" i="2"/>
  <c r="E37" i="2"/>
  <c r="E38" i="2"/>
  <c r="E39" i="2"/>
  <c r="E40" i="2"/>
  <c r="E33" i="2"/>
  <c r="A41" i="2"/>
  <c r="C13" i="2"/>
  <c r="C20" i="2" s="1"/>
  <c r="D13" i="2"/>
  <c r="D20" i="2" s="1"/>
  <c r="E13" i="2"/>
  <c r="E20" i="2" s="1"/>
  <c r="F13" i="2"/>
  <c r="G13" i="2"/>
  <c r="H13" i="2"/>
  <c r="I13" i="2"/>
  <c r="I16" i="2" s="1"/>
  <c r="B13" i="2"/>
  <c r="G10" i="2"/>
  <c r="L20" i="2"/>
  <c r="K8" i="2"/>
  <c r="E3" i="2"/>
  <c r="E4" i="2"/>
  <c r="E5" i="2"/>
  <c r="E6" i="2"/>
  <c r="E7" i="2"/>
  <c r="E2" i="2"/>
  <c r="G3" i="2"/>
  <c r="G4" i="2"/>
  <c r="G5" i="2"/>
  <c r="G6" i="2"/>
  <c r="G2" i="2"/>
  <c r="F16" i="2" l="1"/>
  <c r="F14" i="2" s="1"/>
  <c r="H35" i="2"/>
  <c r="H6" i="2"/>
  <c r="K6" i="2" s="1"/>
  <c r="L6" i="2" s="1"/>
  <c r="G16" i="2"/>
  <c r="H16" i="2"/>
  <c r="H21" i="2" s="1"/>
  <c r="F21" i="2"/>
  <c r="H14" i="2"/>
  <c r="I21" i="2"/>
  <c r="I14" i="2"/>
  <c r="D16" i="2"/>
  <c r="B16" i="2"/>
  <c r="F20" i="2"/>
  <c r="E16" i="2"/>
  <c r="I20" i="2"/>
  <c r="H20" i="2"/>
  <c r="C16" i="2"/>
  <c r="G20" i="2"/>
  <c r="H5" i="2"/>
  <c r="K5" i="2" s="1"/>
  <c r="H4" i="2"/>
  <c r="K4" i="2" s="1"/>
  <c r="H2" i="2"/>
  <c r="K2" i="2" s="1"/>
  <c r="H3" i="2"/>
  <c r="K3" i="2" s="1"/>
  <c r="D2" i="2"/>
  <c r="C3" i="2"/>
  <c r="C4" i="2"/>
  <c r="C5" i="2"/>
  <c r="C6" i="2"/>
  <c r="C7" i="2"/>
  <c r="C8" i="2"/>
  <c r="C2" i="2"/>
  <c r="G21" i="2" l="1"/>
  <c r="G14" i="2"/>
  <c r="E21" i="2"/>
  <c r="E14" i="2"/>
  <c r="C14" i="2"/>
  <c r="C21" i="2"/>
  <c r="B21" i="2"/>
  <c r="B14" i="2"/>
  <c r="D21" i="2"/>
  <c r="D14" i="2"/>
  <c r="L3" i="2"/>
  <c r="K10" i="2"/>
  <c r="L13" i="2" s="1"/>
  <c r="M13" i="2" s="1"/>
  <c r="L2" i="2"/>
  <c r="L4" i="2"/>
  <c r="L5" i="2"/>
  <c r="E2" i="1"/>
  <c r="E4" i="1" s="1"/>
  <c r="F2" i="1"/>
  <c r="F5" i="1" s="1"/>
  <c r="G2" i="1"/>
  <c r="G4" i="1" s="1"/>
  <c r="H2" i="1"/>
  <c r="I2" i="1"/>
  <c r="J2" i="1"/>
  <c r="J5" i="1" s="1"/>
  <c r="K2" i="1"/>
  <c r="K4" i="1" s="1"/>
  <c r="L2" i="1"/>
  <c r="M2" i="1"/>
  <c r="M5" i="1" s="1"/>
  <c r="N2" i="1"/>
  <c r="N5" i="1" s="1"/>
  <c r="O2" i="1"/>
  <c r="O4" i="1" s="1"/>
  <c r="D2" i="1"/>
  <c r="M4" i="1"/>
  <c r="L4" i="1"/>
  <c r="I4" i="1"/>
  <c r="H4" i="1"/>
  <c r="F4" i="1"/>
  <c r="D4" i="1"/>
  <c r="C4" i="1"/>
  <c r="O5" i="1"/>
  <c r="L5" i="1"/>
  <c r="I5" i="1"/>
  <c r="H5" i="1"/>
  <c r="E5" i="1"/>
  <c r="D5" i="1"/>
  <c r="C5" i="1"/>
  <c r="D27" i="2" l="1"/>
  <c r="D28" i="2" s="1"/>
  <c r="E27" i="2"/>
  <c r="E28" i="2" s="1"/>
  <c r="H27" i="2"/>
  <c r="H28" i="2" s="1"/>
  <c r="G27" i="2"/>
  <c r="G28" i="2" s="1"/>
  <c r="F27" i="2"/>
  <c r="F28" i="2" s="1"/>
  <c r="I27" i="2"/>
  <c r="I28" i="2" s="1"/>
  <c r="C27" i="2"/>
  <c r="C28" i="2" s="1"/>
  <c r="L12" i="2"/>
  <c r="M12" i="2" s="1"/>
  <c r="L11" i="2"/>
  <c r="M11" i="2" s="1"/>
  <c r="L10" i="2"/>
  <c r="M10" i="2" s="1"/>
  <c r="L9" i="2"/>
  <c r="M9" i="2" s="1"/>
  <c r="K15" i="2"/>
  <c r="M2" i="2"/>
  <c r="K5" i="1"/>
  <c r="G5" i="1"/>
  <c r="N4" i="1"/>
  <c r="J4" i="1"/>
  <c r="B7" i="1"/>
  <c r="B3" i="1"/>
  <c r="F3" i="1"/>
  <c r="J3" i="1"/>
  <c r="N3" i="1"/>
  <c r="B5" i="1"/>
  <c r="B10" i="1" s="1"/>
  <c r="C3" i="1"/>
  <c r="G3" i="1"/>
  <c r="K3" i="1"/>
  <c r="O3" i="1"/>
  <c r="D3" i="1"/>
  <c r="H3" i="1"/>
  <c r="L3" i="1"/>
  <c r="B4" i="1"/>
  <c r="B6" i="1"/>
  <c r="E3" i="1"/>
  <c r="I3" i="1"/>
  <c r="M3" i="1"/>
  <c r="M15" i="2" l="1"/>
  <c r="M16" i="2" s="1"/>
  <c r="M17" i="2" s="1"/>
  <c r="B29" i="2"/>
  <c r="C29" i="2" s="1"/>
  <c r="C30" i="2" s="1"/>
  <c r="K16" i="2"/>
  <c r="B9" i="1"/>
  <c r="B8" i="1"/>
  <c r="F11" i="1" s="1"/>
  <c r="F12" i="1" s="1"/>
  <c r="B11" i="1"/>
  <c r="D11" i="1" s="1"/>
  <c r="B12" i="1" l="1"/>
  <c r="D12" i="1" l="1"/>
</calcChain>
</file>

<file path=xl/sharedStrings.xml><?xml version="1.0" encoding="utf-8"?>
<sst xmlns="http://schemas.openxmlformats.org/spreadsheetml/2006/main" count="59" uniqueCount="37">
  <si>
    <t>x</t>
  </si>
  <si>
    <t>y</t>
  </si>
  <si>
    <t>x2</t>
  </si>
  <si>
    <t>y2</t>
  </si>
  <si>
    <t>xy</t>
  </si>
  <si>
    <t>&lt;x&gt;</t>
  </si>
  <si>
    <t>&lt;y&gt;</t>
  </si>
  <si>
    <t>&lt;x2&gt;</t>
  </si>
  <si>
    <t>&lt;y2&gt;</t>
  </si>
  <si>
    <t>&lt;xy&gt;</t>
  </si>
  <si>
    <t>b</t>
  </si>
  <si>
    <t>a</t>
  </si>
  <si>
    <t>k</t>
  </si>
  <si>
    <t>sigma</t>
  </si>
  <si>
    <t>m</t>
  </si>
  <si>
    <t>inf</t>
  </si>
  <si>
    <t>x0</t>
  </si>
  <si>
    <t>xi</t>
  </si>
  <si>
    <t>z см</t>
  </si>
  <si>
    <t>x см</t>
  </si>
  <si>
    <t>см</t>
  </si>
  <si>
    <t>lambda</t>
  </si>
  <si>
    <t>Xm</t>
  </si>
  <si>
    <t>Xm, мм</t>
  </si>
  <si>
    <t>Xm, дел</t>
  </si>
  <si>
    <t>f2</t>
  </si>
  <si>
    <t>D</t>
  </si>
  <si>
    <t>eps Xm</t>
  </si>
  <si>
    <t>sig</t>
  </si>
  <si>
    <t>n</t>
  </si>
  <si>
    <t>Delta X</t>
  </si>
  <si>
    <t>delta x</t>
  </si>
  <si>
    <t>d</t>
  </si>
  <si>
    <t>f1</t>
  </si>
  <si>
    <t>lam/D</t>
  </si>
  <si>
    <t>d/f1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</si>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</sst>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K12" sqref="K12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>
        <v>1</v>
      </c>
      <c r="C2">
        <v>4</v>
      </c>
      <c r="D2">
        <f>D1*D1</f>
        <v>9</v>
      </c>
      <c r="E2">
        <f t="shared" ref="E2:O2" si="0">E1*E1</f>
        <v>16</v>
      </c>
      <c r="F2">
        <f t="shared" si="0"/>
        <v>25</v>
      </c>
      <c r="G2">
        <f t="shared" si="0"/>
        <v>36</v>
      </c>
      <c r="H2">
        <f t="shared" si="0"/>
        <v>49</v>
      </c>
      <c r="I2">
        <f t="shared" si="0"/>
        <v>64</v>
      </c>
      <c r="J2">
        <f t="shared" si="0"/>
        <v>81</v>
      </c>
      <c r="K2">
        <f t="shared" si="0"/>
        <v>100</v>
      </c>
      <c r="L2">
        <f t="shared" si="0"/>
        <v>121</v>
      </c>
      <c r="M2">
        <f t="shared" si="0"/>
        <v>144</v>
      </c>
      <c r="N2">
        <f t="shared" si="0"/>
        <v>169</v>
      </c>
      <c r="O2">
        <f t="shared" si="0"/>
        <v>196</v>
      </c>
    </row>
    <row r="3" spans="1:15" x14ac:dyDescent="0.3">
      <c r="A3" t="s">
        <v>2</v>
      </c>
      <c r="B3">
        <f>B1*B1</f>
        <v>1</v>
      </c>
      <c r="C3">
        <f t="shared" ref="C3:O4" si="1">C1*C1</f>
        <v>4</v>
      </c>
      <c r="D3">
        <f t="shared" si="1"/>
        <v>9</v>
      </c>
      <c r="E3">
        <f t="shared" si="1"/>
        <v>16</v>
      </c>
      <c r="F3">
        <f t="shared" si="1"/>
        <v>25</v>
      </c>
      <c r="G3">
        <f t="shared" si="1"/>
        <v>36</v>
      </c>
      <c r="H3">
        <f t="shared" si="1"/>
        <v>49</v>
      </c>
      <c r="I3">
        <f t="shared" si="1"/>
        <v>64</v>
      </c>
      <c r="J3">
        <f t="shared" si="1"/>
        <v>81</v>
      </c>
      <c r="K3">
        <f t="shared" si="1"/>
        <v>100</v>
      </c>
      <c r="L3">
        <f t="shared" si="1"/>
        <v>121</v>
      </c>
      <c r="M3">
        <f t="shared" si="1"/>
        <v>144</v>
      </c>
      <c r="N3">
        <f t="shared" si="1"/>
        <v>169</v>
      </c>
      <c r="O3">
        <f t="shared" si="1"/>
        <v>196</v>
      </c>
    </row>
    <row r="4" spans="1:15" x14ac:dyDescent="0.3">
      <c r="A4" t="s">
        <v>3</v>
      </c>
      <c r="B4">
        <f>B2*B2</f>
        <v>1</v>
      </c>
      <c r="C4">
        <f t="shared" si="1"/>
        <v>16</v>
      </c>
      <c r="D4">
        <f t="shared" si="1"/>
        <v>81</v>
      </c>
      <c r="E4">
        <f t="shared" si="1"/>
        <v>256</v>
      </c>
      <c r="F4">
        <f t="shared" si="1"/>
        <v>625</v>
      </c>
      <c r="G4">
        <f t="shared" si="1"/>
        <v>1296</v>
      </c>
      <c r="H4">
        <f t="shared" si="1"/>
        <v>2401</v>
      </c>
      <c r="I4">
        <f t="shared" si="1"/>
        <v>4096</v>
      </c>
      <c r="J4">
        <f t="shared" si="1"/>
        <v>6561</v>
      </c>
      <c r="K4">
        <f t="shared" si="1"/>
        <v>10000</v>
      </c>
      <c r="L4">
        <f t="shared" si="1"/>
        <v>14641</v>
      </c>
      <c r="M4">
        <f t="shared" si="1"/>
        <v>20736</v>
      </c>
      <c r="N4">
        <f t="shared" si="1"/>
        <v>28561</v>
      </c>
      <c r="O4">
        <f t="shared" si="1"/>
        <v>38416</v>
      </c>
    </row>
    <row r="5" spans="1:15" x14ac:dyDescent="0.3">
      <c r="A5" t="s">
        <v>4</v>
      </c>
      <c r="B5">
        <f>B1*B2</f>
        <v>1</v>
      </c>
      <c r="C5">
        <f t="shared" ref="C5:O5" si="2">C1*C2</f>
        <v>8</v>
      </c>
      <c r="D5">
        <f t="shared" si="2"/>
        <v>27</v>
      </c>
      <c r="E5">
        <f t="shared" si="2"/>
        <v>64</v>
      </c>
      <c r="F5">
        <f t="shared" si="2"/>
        <v>125</v>
      </c>
      <c r="G5">
        <f t="shared" si="2"/>
        <v>216</v>
      </c>
      <c r="H5">
        <f t="shared" si="2"/>
        <v>343</v>
      </c>
      <c r="I5">
        <f t="shared" si="2"/>
        <v>512</v>
      </c>
      <c r="J5">
        <f t="shared" si="2"/>
        <v>729</v>
      </c>
      <c r="K5">
        <f t="shared" si="2"/>
        <v>1000</v>
      </c>
      <c r="L5">
        <f t="shared" si="2"/>
        <v>1331</v>
      </c>
      <c r="M5">
        <f t="shared" si="2"/>
        <v>1728</v>
      </c>
      <c r="N5">
        <f t="shared" si="2"/>
        <v>2197</v>
      </c>
      <c r="O5">
        <f t="shared" si="2"/>
        <v>2744</v>
      </c>
    </row>
    <row r="6" spans="1:15" x14ac:dyDescent="0.3">
      <c r="A6" t="s">
        <v>5</v>
      </c>
      <c r="B6">
        <f>SUM(B1:O1)/14</f>
        <v>7.5</v>
      </c>
    </row>
    <row r="7" spans="1:15" x14ac:dyDescent="0.3">
      <c r="A7" t="s">
        <v>6</v>
      </c>
      <c r="B7">
        <f>SUM(B2:O2)/14</f>
        <v>72.5</v>
      </c>
    </row>
    <row r="8" spans="1:15" x14ac:dyDescent="0.3">
      <c r="A8" t="s">
        <v>7</v>
      </c>
      <c r="B8">
        <f>SUM(B3:O3)/14</f>
        <v>72.5</v>
      </c>
    </row>
    <row r="9" spans="1:15" x14ac:dyDescent="0.3">
      <c r="A9" t="s">
        <v>8</v>
      </c>
      <c r="B9">
        <f>SUM(B4:O4)/14</f>
        <v>9120.5</v>
      </c>
    </row>
    <row r="10" spans="1:15" x14ac:dyDescent="0.3">
      <c r="A10" t="s">
        <v>9</v>
      </c>
      <c r="B10">
        <f>SUM(B5:O5)/14</f>
        <v>787.5</v>
      </c>
    </row>
    <row r="11" spans="1:15" x14ac:dyDescent="0.3">
      <c r="A11" t="s">
        <v>10</v>
      </c>
      <c r="B11">
        <f>(B10-B6*B7)/(B8-B6*B6)</f>
        <v>15</v>
      </c>
      <c r="C11" t="s">
        <v>11</v>
      </c>
      <c r="D11">
        <f>B7-B11*B6</f>
        <v>-40</v>
      </c>
      <c r="E11" t="s">
        <v>12</v>
      </c>
      <c r="F11">
        <f>B10/B8</f>
        <v>10.862068965517242</v>
      </c>
    </row>
    <row r="12" spans="1:15" x14ac:dyDescent="0.3">
      <c r="A12" t="s">
        <v>13</v>
      </c>
      <c r="B12">
        <f>SQRT(((B9-B7*B7)/(B8-B6*B6) - B11*B11)/14)</f>
        <v>0.95618288746751534</v>
      </c>
      <c r="C12" t="s">
        <v>13</v>
      </c>
      <c r="D12">
        <f>B12*SQRT(B8)</f>
        <v>8.1416039135857226</v>
      </c>
      <c r="E12" t="s">
        <v>13</v>
      </c>
      <c r="F12">
        <f>SQRT((B9/B8) - F11*F11)/SQRT(15)</f>
        <v>0.72182443795090911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1" workbookViewId="0">
      <selection activeCell="J49" sqref="J49"/>
    </sheetView>
  </sheetViews>
  <sheetFormatPr defaultRowHeight="14.4" x14ac:dyDescent="0.3"/>
  <cols>
    <col min="2" max="4" width="12" bestFit="1" customWidth="1"/>
    <col min="6" max="6" width="12" bestFit="1" customWidth="1"/>
    <col min="7" max="7" width="11" bestFit="1" customWidth="1"/>
    <col min="8" max="8" width="12" bestFit="1" customWidth="1"/>
    <col min="11" max="11" width="12" bestFit="1" customWidth="1"/>
    <col min="12" max="12" width="14.6640625" customWidth="1"/>
    <col min="13" max="13" width="12" bestFit="1" customWidth="1"/>
  </cols>
  <sheetData>
    <row r="1" spans="1:13" x14ac:dyDescent="0.3">
      <c r="A1" t="s">
        <v>14</v>
      </c>
      <c r="B1" t="s">
        <v>19</v>
      </c>
      <c r="C1" t="s">
        <v>18</v>
      </c>
      <c r="D1" t="s">
        <v>17</v>
      </c>
      <c r="G1" t="s">
        <v>20</v>
      </c>
    </row>
    <row r="2" spans="1:13" x14ac:dyDescent="0.3">
      <c r="A2">
        <v>1</v>
      </c>
      <c r="B2">
        <v>45.7</v>
      </c>
      <c r="C2">
        <f>$B$10-B2</f>
        <v>0.29999999999999716</v>
      </c>
      <c r="D2">
        <f>SQRT(A2*C2*5461/10^(13))</f>
        <v>1.2799609369039292E-5</v>
      </c>
      <c r="E2">
        <f t="shared" ref="E2:E7" si="0">$B$10-B2</f>
        <v>0.29999999999999716</v>
      </c>
      <c r="F2">
        <v>52.6</v>
      </c>
      <c r="G2">
        <f>-(F2-$F$9)</f>
        <v>2.7999999999999972</v>
      </c>
      <c r="H2">
        <f>SQRT(A2*G2*0.01*$G$10)</f>
        <v>1.2733404886360909E-4</v>
      </c>
      <c r="J2">
        <v>1</v>
      </c>
      <c r="K2">
        <f>H2*2</f>
        <v>2.5466809772721819E-4</v>
      </c>
      <c r="L2">
        <f>K2*0.1/(2*G2)</f>
        <v>4.5476446022717588E-6</v>
      </c>
      <c r="M2">
        <f>L2/K2</f>
        <v>1.7857142857142877E-2</v>
      </c>
    </row>
    <row r="3" spans="1:13" x14ac:dyDescent="0.3">
      <c r="A3">
        <v>2</v>
      </c>
      <c r="B3">
        <v>45</v>
      </c>
      <c r="C3">
        <f t="shared" ref="C3:C8" si="1">$B$10-B3</f>
        <v>1</v>
      </c>
      <c r="E3">
        <f t="shared" si="0"/>
        <v>1</v>
      </c>
      <c r="F3">
        <v>53.5</v>
      </c>
      <c r="G3">
        <f>-(F3-$F$9)</f>
        <v>1.8999999999999986</v>
      </c>
      <c r="H3">
        <f>SQRT(A3*G3*0.01*$G$10)</f>
        <v>1.4833967776694133E-4</v>
      </c>
      <c r="J3">
        <v>2</v>
      </c>
      <c r="K3">
        <f>H3*2</f>
        <v>2.9667935553388266E-4</v>
      </c>
      <c r="L3">
        <f>K3*0.1/(2*G3)</f>
        <v>7.8073514614179709E-6</v>
      </c>
    </row>
    <row r="4" spans="1:13" x14ac:dyDescent="0.3">
      <c r="A4">
        <v>3</v>
      </c>
      <c r="B4">
        <v>44.5</v>
      </c>
      <c r="C4">
        <f t="shared" si="1"/>
        <v>1.5</v>
      </c>
      <c r="E4">
        <f t="shared" si="0"/>
        <v>1.5</v>
      </c>
      <c r="F4">
        <v>54.1</v>
      </c>
      <c r="G4">
        <f>-(F4-$F$9)</f>
        <v>1.2999999999999972</v>
      </c>
      <c r="H4">
        <f>SQRT(A4*G4*0.01*$G$10)</f>
        <v>1.5027884082597907E-4</v>
      </c>
      <c r="J4">
        <v>3</v>
      </c>
      <c r="K4">
        <f>H4*2</f>
        <v>3.0055768165195815E-4</v>
      </c>
      <c r="L4">
        <f>K4*0.1/(2*G4)</f>
        <v>1.1559910832767647E-5</v>
      </c>
    </row>
    <row r="5" spans="1:13" x14ac:dyDescent="0.3">
      <c r="A5">
        <v>4</v>
      </c>
      <c r="B5">
        <v>44</v>
      </c>
      <c r="C5">
        <f t="shared" si="1"/>
        <v>2</v>
      </c>
      <c r="E5">
        <f t="shared" si="0"/>
        <v>2</v>
      </c>
      <c r="F5">
        <v>54.4</v>
      </c>
      <c r="G5">
        <f>-(F5-$F$9)</f>
        <v>1</v>
      </c>
      <c r="H5">
        <f>SQRT(A5*G5*0.01*$G$10)</f>
        <v>1.521932981441693E-4</v>
      </c>
      <c r="J5">
        <v>4</v>
      </c>
      <c r="K5">
        <f>H5*2</f>
        <v>3.0438659628833861E-4</v>
      </c>
      <c r="L5">
        <f>K5*0.1/(2*G5)</f>
        <v>1.5219329814416932E-5</v>
      </c>
    </row>
    <row r="6" spans="1:13" x14ac:dyDescent="0.3">
      <c r="A6">
        <v>5</v>
      </c>
      <c r="B6">
        <v>43.8</v>
      </c>
      <c r="C6">
        <f t="shared" si="1"/>
        <v>2.2000000000000028</v>
      </c>
      <c r="E6">
        <f t="shared" si="0"/>
        <v>2.2000000000000028</v>
      </c>
      <c r="F6">
        <v>54.5</v>
      </c>
      <c r="G6">
        <f>-(F6-$F$9)</f>
        <v>0.89999999999999858</v>
      </c>
      <c r="H6">
        <f>SQRT(A6*G6*0.01*$G$10)</f>
        <v>1.6142536975333202E-4</v>
      </c>
      <c r="J6">
        <v>5</v>
      </c>
      <c r="K6">
        <f>H6*2</f>
        <v>3.2285073950666404E-4</v>
      </c>
      <c r="L6">
        <f>K6*0.1/(2*G6)</f>
        <v>1.7936152194814696E-5</v>
      </c>
    </row>
    <row r="7" spans="1:13" x14ac:dyDescent="0.3">
      <c r="A7">
        <v>8</v>
      </c>
      <c r="B7">
        <v>43.6</v>
      </c>
      <c r="C7">
        <f t="shared" si="1"/>
        <v>2.3999999999999986</v>
      </c>
      <c r="E7">
        <f t="shared" si="0"/>
        <v>2.3999999999999986</v>
      </c>
    </row>
    <row r="8" spans="1:13" x14ac:dyDescent="0.3">
      <c r="A8" t="s">
        <v>15</v>
      </c>
      <c r="B8">
        <v>42.8</v>
      </c>
      <c r="C8">
        <f t="shared" si="1"/>
        <v>3.2000000000000028</v>
      </c>
      <c r="K8">
        <f>576*10^(-9)*0.1/2.6</f>
        <v>2.2153846153846159E-8</v>
      </c>
    </row>
    <row r="9" spans="1:13" x14ac:dyDescent="0.3">
      <c r="F9">
        <v>55.4</v>
      </c>
      <c r="L9">
        <f>K2-$K$10</f>
        <v>-4.1160396414394141E-5</v>
      </c>
      <c r="M9">
        <f>L9*L9</f>
        <v>1.6941782329900702E-9</v>
      </c>
    </row>
    <row r="10" spans="1:13" x14ac:dyDescent="0.3">
      <c r="A10" t="s">
        <v>16</v>
      </c>
      <c r="B10">
        <v>46</v>
      </c>
      <c r="F10" t="s">
        <v>21</v>
      </c>
      <c r="G10">
        <f>579.07*10^(-9)</f>
        <v>5.7907000000000012E-7</v>
      </c>
      <c r="K10">
        <f>AVERAGE(K2:K6)</f>
        <v>2.9582849414161233E-4</v>
      </c>
      <c r="L10">
        <f>K3-$K$10</f>
        <v>8.5086139227033173E-7</v>
      </c>
      <c r="M10">
        <f>L10*L10</f>
        <v>7.239651088562073E-13</v>
      </c>
    </row>
    <row r="11" spans="1:13" x14ac:dyDescent="0.3">
      <c r="L11">
        <f>K4-$K$10</f>
        <v>4.7291875103458209E-6</v>
      </c>
      <c r="M11">
        <f>L11*L11</f>
        <v>2.2365214508010905E-11</v>
      </c>
    </row>
    <row r="12" spans="1:13" x14ac:dyDescent="0.3">
      <c r="A12" t="s">
        <v>14</v>
      </c>
      <c r="B12">
        <v>1</v>
      </c>
      <c r="C12">
        <v>2</v>
      </c>
      <c r="D12">
        <v>3</v>
      </c>
      <c r="E12">
        <v>4</v>
      </c>
      <c r="F12">
        <v>-1</v>
      </c>
      <c r="G12">
        <v>-2</v>
      </c>
      <c r="H12">
        <v>-3</v>
      </c>
      <c r="I12">
        <v>-4</v>
      </c>
      <c r="L12">
        <f>K5-$K$10</f>
        <v>8.5581021467262802E-6</v>
      </c>
      <c r="M12">
        <f>L12*L12</f>
        <v>7.3241112353800961E-11</v>
      </c>
    </row>
    <row r="13" spans="1:13" x14ac:dyDescent="0.3">
      <c r="A13" t="s">
        <v>23</v>
      </c>
      <c r="B13">
        <f>B22*0.02</f>
        <v>0.16</v>
      </c>
      <c r="C13">
        <f>C22*0.02</f>
        <v>0.34</v>
      </c>
      <c r="D13">
        <f>D22*0.02</f>
        <v>0.5</v>
      </c>
      <c r="E13">
        <f>E22*0.02</f>
        <v>0.66</v>
      </c>
      <c r="F13">
        <f>F22*0.02</f>
        <v>0.14000000000000001</v>
      </c>
      <c r="G13">
        <f>G22*0.02</f>
        <v>0.34</v>
      </c>
      <c r="H13">
        <f>H22*0.02</f>
        <v>0.5</v>
      </c>
      <c r="I13">
        <f>I22*0.02</f>
        <v>0.66</v>
      </c>
      <c r="L13">
        <f>K6-$K$10</f>
        <v>2.7022245365051708E-5</v>
      </c>
      <c r="M13">
        <f>L13*L13</f>
        <v>7.3020174456905848E-10</v>
      </c>
    </row>
    <row r="14" spans="1:13" x14ac:dyDescent="0.3">
      <c r="A14" t="s">
        <v>26</v>
      </c>
      <c r="B14" s="1">
        <f>B16*1000000</f>
        <v>416.20656250000008</v>
      </c>
      <c r="C14" s="1">
        <f t="shared" ref="C14:I14" si="2">C16*1000000</f>
        <v>391.72382352941185</v>
      </c>
      <c r="D14" s="1">
        <f t="shared" si="2"/>
        <v>399.55830000000009</v>
      </c>
      <c r="E14" s="1">
        <f t="shared" si="2"/>
        <v>403.59424242424251</v>
      </c>
      <c r="F14" s="1">
        <f t="shared" si="2"/>
        <v>475.66464285714295</v>
      </c>
      <c r="G14" s="1">
        <f t="shared" si="2"/>
        <v>391.72382352941185</v>
      </c>
      <c r="H14" s="1">
        <f t="shared" si="2"/>
        <v>399.55830000000009</v>
      </c>
      <c r="I14" s="1">
        <f t="shared" si="2"/>
        <v>403.59424242424251</v>
      </c>
    </row>
    <row r="15" spans="1:13" x14ac:dyDescent="0.3">
      <c r="A15" t="s">
        <v>13</v>
      </c>
      <c r="B15" s="1">
        <f t="shared" ref="B15:C15" si="3">B17*1000000</f>
        <v>52.025820312500009</v>
      </c>
      <c r="C15" s="1">
        <f t="shared" si="3"/>
        <v>23.042577854671283</v>
      </c>
      <c r="D15" s="1">
        <f>D17*1000000</f>
        <v>15.982332000000005</v>
      </c>
      <c r="E15" s="1">
        <f t="shared" ref="E15:I15" si="4">E17*1000000</f>
        <v>12.23012855831038</v>
      </c>
      <c r="F15" s="1">
        <f t="shared" si="4"/>
        <v>67.952091836734695</v>
      </c>
      <c r="G15" s="1">
        <f t="shared" si="4"/>
        <v>23.042577854671283</v>
      </c>
      <c r="H15" s="1">
        <f t="shared" si="4"/>
        <v>15.982332000000005</v>
      </c>
      <c r="I15" s="1">
        <f t="shared" si="4"/>
        <v>12.23012855831038</v>
      </c>
      <c r="K15">
        <f>AVERAGE(L2:L6)</f>
        <v>1.1414077781137801E-5</v>
      </c>
      <c r="M15">
        <f>SUM(M9:M13)</f>
        <v>2.5207102695297969E-9</v>
      </c>
    </row>
    <row r="16" spans="1:13" x14ac:dyDescent="0.3">
      <c r="A16" t="s">
        <v>26</v>
      </c>
      <c r="B16">
        <f>$L$20*B12*$G$10*1000/B13</f>
        <v>4.162065625000001E-4</v>
      </c>
      <c r="C16">
        <f>$L$20*C12*$G$10*1000/C13</f>
        <v>3.9172382352941184E-4</v>
      </c>
      <c r="D16">
        <f>$L$20*D12*$G$10*1000/D13</f>
        <v>3.995583000000001E-4</v>
      </c>
      <c r="E16">
        <f>$L$20*E12*$G$10*1000/E13</f>
        <v>4.0359424242424253E-4</v>
      </c>
      <c r="F16">
        <f>-$L$20*F12*$G$10*1000/F13</f>
        <v>4.7566464285714294E-4</v>
      </c>
      <c r="G16">
        <f>-$L$20*G12*$G$10*1000/G13</f>
        <v>3.9172382352941184E-4</v>
      </c>
      <c r="H16">
        <f>-$L$20*H12*$G$10*1000/H13</f>
        <v>3.995583000000001E-4</v>
      </c>
      <c r="I16">
        <f>-$L$20*I12*$G$10*1000/I13</f>
        <v>4.0359424242424253E-4</v>
      </c>
      <c r="K16">
        <f>SQRT(K15*K15+M17*M17)</f>
        <v>1.6009893349749507E-5</v>
      </c>
      <c r="M16">
        <f>M15/20</f>
        <v>1.2603551347648984E-10</v>
      </c>
    </row>
    <row r="17" spans="1:13" x14ac:dyDescent="0.3">
      <c r="A17" t="s">
        <v>13</v>
      </c>
      <c r="B17">
        <f>B16*$L$22/B13</f>
        <v>5.2025820312500013E-5</v>
      </c>
      <c r="C17">
        <f t="shared" ref="C17:I17" si="5">C16*$L$22/C13</f>
        <v>2.3042577854671283E-5</v>
      </c>
      <c r="D17">
        <f t="shared" si="5"/>
        <v>1.5982332000000005E-5</v>
      </c>
      <c r="E17">
        <f t="shared" si="5"/>
        <v>1.223012855831038E-5</v>
      </c>
      <c r="F17">
        <f t="shared" si="5"/>
        <v>6.7952091836734699E-5</v>
      </c>
      <c r="G17">
        <f t="shared" si="5"/>
        <v>2.3042577854671283E-5</v>
      </c>
      <c r="H17">
        <f t="shared" si="5"/>
        <v>1.5982332000000005E-5</v>
      </c>
      <c r="I17">
        <f t="shared" si="5"/>
        <v>1.223012855831038E-5</v>
      </c>
      <c r="M17">
        <f>SQRT(M16)</f>
        <v>1.1226553944843887E-5</v>
      </c>
    </row>
    <row r="19" spans="1:13" x14ac:dyDescent="0.3">
      <c r="K19" t="s">
        <v>33</v>
      </c>
      <c r="L19">
        <v>0.128</v>
      </c>
    </row>
    <row r="20" spans="1:13" x14ac:dyDescent="0.3">
      <c r="A20" t="s">
        <v>27</v>
      </c>
      <c r="B20">
        <f>$L$22/B13</f>
        <v>0.125</v>
      </c>
      <c r="C20">
        <f>$L$22/C13</f>
        <v>5.8823529411764705E-2</v>
      </c>
      <c r="D20">
        <f>$L$22/D13</f>
        <v>0.04</v>
      </c>
      <c r="E20">
        <f>$L$22/E13</f>
        <v>3.0303030303030304E-2</v>
      </c>
      <c r="F20">
        <f>$L$22/F13</f>
        <v>0.14285714285714285</v>
      </c>
      <c r="G20">
        <f>$L$22/G13</f>
        <v>5.8823529411764705E-2</v>
      </c>
      <c r="H20">
        <f>$L$22/H13</f>
        <v>0.04</v>
      </c>
      <c r="I20">
        <f>$L$22/I13</f>
        <v>3.0303030303030304E-2</v>
      </c>
      <c r="K20" t="s">
        <v>25</v>
      </c>
      <c r="L20">
        <f>11.5/100</f>
        <v>0.115</v>
      </c>
    </row>
    <row r="21" spans="1:13" x14ac:dyDescent="0.3">
      <c r="B21">
        <f>B16*B16*0.01*1000000/(1000*B13*B13)</f>
        <v>6.766714947971348E-5</v>
      </c>
      <c r="C21">
        <f>C16*C16*0.01*1000000/(1000*C13*C13)</f>
        <v>1.3274009854714686E-5</v>
      </c>
      <c r="D21">
        <f>D16*D16*0.01*1000000/(1000*D13*D13)</f>
        <v>6.3858734039556026E-6</v>
      </c>
      <c r="E21">
        <f>E16*E16*0.01*1000000/(1000*E13*E13)</f>
        <v>3.7394011138199781E-6</v>
      </c>
      <c r="F21">
        <f>F16*F16*0.01*1000000/(1000*F13*F13)</f>
        <v>1.1543716962470069E-4</v>
      </c>
      <c r="G21">
        <f>G16*G16*0.01*1000000/(1000*G13*G13)</f>
        <v>1.3274009854714686E-5</v>
      </c>
      <c r="H21">
        <f>H16*H16*0.01*1000000/(1000*H13*H13)</f>
        <v>6.3858734039556026E-6</v>
      </c>
      <c r="I21">
        <f>I16*I16*0.01*1000000/(1000*I13*I13)</f>
        <v>3.7394011138199781E-6</v>
      </c>
    </row>
    <row r="22" spans="1:13" x14ac:dyDescent="0.3">
      <c r="A22" t="s">
        <v>24</v>
      </c>
      <c r="B22">
        <v>8</v>
      </c>
      <c r="C22">
        <v>17</v>
      </c>
      <c r="D22">
        <v>25</v>
      </c>
      <c r="E22">
        <v>33</v>
      </c>
      <c r="F22">
        <v>7</v>
      </c>
      <c r="G22">
        <v>17</v>
      </c>
      <c r="H22">
        <v>25</v>
      </c>
      <c r="I22">
        <v>33</v>
      </c>
      <c r="L22">
        <v>0.02</v>
      </c>
    </row>
    <row r="24" spans="1:13" x14ac:dyDescent="0.3">
      <c r="I24">
        <v>1</v>
      </c>
    </row>
    <row r="26" spans="1:13" x14ac:dyDescent="0.3">
      <c r="B26">
        <f>AVERAGE(B16:I16)</f>
        <v>4.1020299215805648E-4</v>
      </c>
      <c r="C26">
        <f>AVERAGE(B17:I17)</f>
        <v>2.7810998621899755E-5</v>
      </c>
    </row>
    <row r="27" spans="1:13" x14ac:dyDescent="0.3">
      <c r="B27">
        <f>B16-$B$26</f>
        <v>6.0035703419436255E-6</v>
      </c>
      <c r="C27">
        <f>C16-$B$26</f>
        <v>-1.8479168628644641E-5</v>
      </c>
      <c r="D27">
        <f>D16-$B$26</f>
        <v>-1.0644692158056376E-5</v>
      </c>
      <c r="E27">
        <f>E16-$B$26</f>
        <v>-6.6087497338139468E-6</v>
      </c>
      <c r="F27">
        <f>F16-$B$26</f>
        <v>6.5461650699086466E-5</v>
      </c>
      <c r="G27">
        <f>G16-$B$26</f>
        <v>-1.8479168628644641E-5</v>
      </c>
      <c r="H27">
        <f>H16-$B$26</f>
        <v>-1.0644692158056376E-5</v>
      </c>
      <c r="I27">
        <f>I16-$B$26</f>
        <v>-6.6087497338139468E-6</v>
      </c>
    </row>
    <row r="28" spans="1:13" x14ac:dyDescent="0.3">
      <c r="B28">
        <f>B27*B27</f>
        <v>3.6042856850665097E-11</v>
      </c>
      <c r="C28">
        <f t="shared" ref="C28:I28" si="6">C27*C27</f>
        <v>3.4147967320588428E-10</v>
      </c>
      <c r="D28">
        <f t="shared" si="6"/>
        <v>1.1330947113978691E-10</v>
      </c>
      <c r="E28">
        <f t="shared" si="6"/>
        <v>4.3675573044185916E-11</v>
      </c>
      <c r="F28">
        <f t="shared" si="6"/>
        <v>4.2852277122492079E-9</v>
      </c>
      <c r="G28">
        <f t="shared" si="6"/>
        <v>3.4147967320588428E-10</v>
      </c>
      <c r="H28">
        <f t="shared" si="6"/>
        <v>1.1330947113978691E-10</v>
      </c>
      <c r="I28">
        <f t="shared" si="6"/>
        <v>4.3675573044185916E-11</v>
      </c>
    </row>
    <row r="29" spans="1:13" x14ac:dyDescent="0.3">
      <c r="B29">
        <f>SUM(B28:I28)/(8*7)</f>
        <v>9.4967857212135476E-11</v>
      </c>
      <c r="C29">
        <f>SQRT(B29)</f>
        <v>9.7451453150856336E-6</v>
      </c>
    </row>
    <row r="30" spans="1:13" x14ac:dyDescent="0.3">
      <c r="C30">
        <f>SQRT(C29*C29+C26*C26)</f>
        <v>2.9468958270686218E-5</v>
      </c>
    </row>
    <row r="31" spans="1:13" x14ac:dyDescent="0.3">
      <c r="H31" t="s">
        <v>22</v>
      </c>
      <c r="I31">
        <f>0.16/1000</f>
        <v>1.6000000000000001E-4</v>
      </c>
    </row>
    <row r="32" spans="1:13" x14ac:dyDescent="0.3">
      <c r="H32" t="s">
        <v>26</v>
      </c>
      <c r="I32">
        <f>0.39/1000</f>
        <v>3.8999999999999999E-4</v>
      </c>
    </row>
    <row r="33" spans="1:12" x14ac:dyDescent="0.3">
      <c r="A33" t="s">
        <v>23</v>
      </c>
      <c r="B33">
        <v>8</v>
      </c>
      <c r="D33">
        <v>1</v>
      </c>
      <c r="E33">
        <f t="shared" ref="E33:E40" si="7">B33*0.02</f>
        <v>0.16</v>
      </c>
      <c r="H33" t="s">
        <v>28</v>
      </c>
      <c r="I33">
        <f>0.005/(1000*I31)</f>
        <v>3.125E-2</v>
      </c>
    </row>
    <row r="34" spans="1:12" x14ac:dyDescent="0.3">
      <c r="B34">
        <v>17</v>
      </c>
      <c r="D34">
        <v>2</v>
      </c>
      <c r="E34">
        <f t="shared" si="7"/>
        <v>0.34</v>
      </c>
    </row>
    <row r="35" spans="1:12" x14ac:dyDescent="0.3">
      <c r="B35">
        <v>25</v>
      </c>
      <c r="D35">
        <v>3</v>
      </c>
      <c r="E35">
        <f t="shared" si="7"/>
        <v>0.5</v>
      </c>
      <c r="H35">
        <f>I32*I32*I33/I31</f>
        <v>2.9707031249999996E-5</v>
      </c>
    </row>
    <row r="36" spans="1:12" x14ac:dyDescent="0.3">
      <c r="B36">
        <v>33</v>
      </c>
      <c r="D36">
        <v>4</v>
      </c>
      <c r="E36">
        <f t="shared" si="7"/>
        <v>0.66</v>
      </c>
    </row>
    <row r="37" spans="1:12" x14ac:dyDescent="0.3">
      <c r="B37">
        <v>7</v>
      </c>
      <c r="D37">
        <v>-1</v>
      </c>
      <c r="E37">
        <f t="shared" si="7"/>
        <v>0.14000000000000001</v>
      </c>
    </row>
    <row r="38" spans="1:12" x14ac:dyDescent="0.3">
      <c r="B38">
        <v>17</v>
      </c>
      <c r="D38">
        <v>-2</v>
      </c>
      <c r="E38">
        <f t="shared" si="7"/>
        <v>0.34</v>
      </c>
      <c r="K38" t="s">
        <v>32</v>
      </c>
      <c r="L38">
        <f>1/1000</f>
        <v>1E-3</v>
      </c>
    </row>
    <row r="39" spans="1:12" x14ac:dyDescent="0.3">
      <c r="B39">
        <v>25</v>
      </c>
      <c r="D39">
        <v>-3</v>
      </c>
      <c r="E39">
        <f t="shared" si="7"/>
        <v>0.5</v>
      </c>
      <c r="K39" t="s">
        <v>26</v>
      </c>
      <c r="L39">
        <f>0.055/1000</f>
        <v>5.5000000000000002E-5</v>
      </c>
    </row>
    <row r="40" spans="1:12" x14ac:dyDescent="0.3">
      <c r="B40">
        <v>33</v>
      </c>
      <c r="D40">
        <v>-4</v>
      </c>
      <c r="E40">
        <f t="shared" si="7"/>
        <v>0.66</v>
      </c>
      <c r="K40" t="s">
        <v>33</v>
      </c>
      <c r="L40">
        <f>9/100</f>
        <v>0.09</v>
      </c>
    </row>
    <row r="41" spans="1:12" x14ac:dyDescent="0.3">
      <c r="A41">
        <f>J41*0.02</f>
        <v>0</v>
      </c>
      <c r="K41" t="s">
        <v>36</v>
      </c>
      <c r="L41">
        <f>G10/L39</f>
        <v>1.0528545454545457E-2</v>
      </c>
    </row>
    <row r="42" spans="1:12" x14ac:dyDescent="0.3">
      <c r="A42" t="s">
        <v>29</v>
      </c>
      <c r="B42">
        <v>11</v>
      </c>
      <c r="C42">
        <v>1</v>
      </c>
      <c r="K42" t="s">
        <v>35</v>
      </c>
      <c r="L42">
        <f>L38/L40</f>
        <v>1.1111111111111112E-2</v>
      </c>
    </row>
    <row r="43" spans="1:12" x14ac:dyDescent="0.3">
      <c r="A43" t="s">
        <v>30</v>
      </c>
      <c r="B43">
        <v>0.72</v>
      </c>
      <c r="C43">
        <v>0.01</v>
      </c>
      <c r="F43" t="s">
        <v>10</v>
      </c>
      <c r="G43">
        <f>G10*L19/B50</f>
        <v>7.4120960000000015E-5</v>
      </c>
      <c r="H43">
        <f>L19*G10*C50/(B50*B50)</f>
        <v>7.412096000000003E-7</v>
      </c>
    </row>
    <row r="44" spans="1:12" x14ac:dyDescent="0.3">
      <c r="B44">
        <f>B43/1000</f>
        <v>7.1999999999999994E-4</v>
      </c>
    </row>
    <row r="45" spans="1:12" x14ac:dyDescent="0.3">
      <c r="A45" t="s">
        <v>31</v>
      </c>
      <c r="B45">
        <f>B43/11</f>
        <v>6.5454545454545446E-2</v>
      </c>
      <c r="C45">
        <f>SQRT((C43*C43*0.000001)/(B42*B42) + (B44*B44)/(B42*B42))</f>
        <v>6.5460858281435235E-5</v>
      </c>
      <c r="F45" t="s">
        <v>32</v>
      </c>
      <c r="G45">
        <f>G46*5</f>
        <v>0.27500000000000002</v>
      </c>
      <c r="H45" t="s">
        <v>34</v>
      </c>
      <c r="I45">
        <f>G10*1000/G46</f>
        <v>1.0528545454545457E-2</v>
      </c>
    </row>
    <row r="46" spans="1:12" x14ac:dyDescent="0.3">
      <c r="A46" t="s">
        <v>32</v>
      </c>
      <c r="B46">
        <f>L20*G10*1000/B45</f>
        <v>1.0173938194444449E-3</v>
      </c>
      <c r="C46">
        <f>L20*G10*C45*1000/(B45*B45)</f>
        <v>1.0174919429745417E-6</v>
      </c>
      <c r="F46" t="s">
        <v>26</v>
      </c>
      <c r="G46">
        <v>5.5E-2</v>
      </c>
      <c r="H46" t="s">
        <v>35</v>
      </c>
      <c r="I46">
        <f>G45/(1000*L19)</f>
        <v>2.1484375000000002E-3</v>
      </c>
    </row>
    <row r="48" spans="1:12" x14ac:dyDescent="0.3">
      <c r="A48" t="s">
        <v>32</v>
      </c>
      <c r="B48">
        <v>1</v>
      </c>
      <c r="C48">
        <v>0.01</v>
      </c>
      <c r="F48" t="s">
        <v>32</v>
      </c>
      <c r="G48">
        <v>1</v>
      </c>
      <c r="H48" t="s">
        <v>34</v>
      </c>
      <c r="I48">
        <f>G10*1000/G49</f>
        <v>1.1581400000000002E-2</v>
      </c>
      <c r="J48">
        <f>G10*1000/G48</f>
        <v>5.7907000000000011E-4</v>
      </c>
    </row>
    <row r="49" spans="1:9" x14ac:dyDescent="0.3">
      <c r="A49" t="s">
        <v>26</v>
      </c>
      <c r="B49">
        <v>0.2</v>
      </c>
      <c r="C49">
        <v>0.01</v>
      </c>
      <c r="F49" t="s">
        <v>26</v>
      </c>
      <c r="G49">
        <v>0.05</v>
      </c>
      <c r="H49" t="s">
        <v>35</v>
      </c>
      <c r="I49">
        <f>G48/(1000*L19)</f>
        <v>7.8125E-3</v>
      </c>
    </row>
    <row r="50" spans="1:9" x14ac:dyDescent="0.3">
      <c r="B50">
        <f>B48/1000</f>
        <v>1E-3</v>
      </c>
      <c r="C50">
        <f>C48/1000</f>
        <v>1.0000000000000001E-5</v>
      </c>
    </row>
    <row r="51" spans="1:9" x14ac:dyDescent="0.3">
      <c r="B51">
        <f>B49/1000</f>
        <v>2.0000000000000001E-4</v>
      </c>
      <c r="C51">
        <f>C49/1000</f>
        <v>1.0000000000000001E-5</v>
      </c>
    </row>
    <row r="52" spans="1:9" x14ac:dyDescent="0.3">
      <c r="A52" t="s">
        <v>29</v>
      </c>
      <c r="B52">
        <f>2*B48/B49</f>
        <v>10</v>
      </c>
      <c r="C52">
        <f>SQRT((4*C50*C50)/(B51*B51) + (4*B50*B50*C51*C51)/(B51*B51*B51*B51))</f>
        <v>0.50990195135927852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2020-03-05T17:16:41Z</dcterms:modified>
</cp:coreProperties>
</file>