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7" i="2" l="1"/>
  <c r="B25" i="2"/>
  <c r="B24" i="2"/>
  <c r="C21" i="2"/>
  <c r="B21" i="2"/>
  <c r="B26" i="2" s="1"/>
  <c r="B20" i="2"/>
  <c r="C20" i="2"/>
  <c r="F12" i="1"/>
  <c r="B11" i="1"/>
  <c r="B10" i="1"/>
  <c r="B9" i="1"/>
  <c r="B8" i="1"/>
  <c r="B7" i="1"/>
  <c r="B6" i="1"/>
  <c r="F11" i="1"/>
  <c r="C17" i="2"/>
  <c r="D17" i="2"/>
  <c r="E17" i="2"/>
  <c r="F17" i="2"/>
  <c r="B17" i="2"/>
  <c r="C12" i="2"/>
  <c r="B12" i="2"/>
  <c r="C7" i="2"/>
  <c r="C8" i="2" s="1"/>
  <c r="D8" i="2" s="1"/>
  <c r="B8" i="2"/>
  <c r="B7" i="2"/>
  <c r="C6" i="2"/>
  <c r="B6" i="2"/>
  <c r="H3" i="2"/>
  <c r="G3" i="2"/>
  <c r="C5" i="2"/>
  <c r="B5" i="2"/>
  <c r="D1" i="2"/>
  <c r="C4" i="2"/>
  <c r="B4" i="2"/>
  <c r="B22" i="2" l="1"/>
  <c r="C26" i="2"/>
  <c r="C22" i="2"/>
  <c r="E4" i="1"/>
  <c r="F5" i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M4" i="1"/>
  <c r="L4" i="1"/>
  <c r="I4" i="1"/>
  <c r="H4" i="1"/>
  <c r="D4" i="1"/>
  <c r="C4" i="1"/>
  <c r="O5" i="1"/>
  <c r="L5" i="1"/>
  <c r="I5" i="1"/>
  <c r="H5" i="1"/>
  <c r="D5" i="1"/>
  <c r="C5" i="1"/>
  <c r="E5" i="1" l="1"/>
  <c r="F4" i="1"/>
  <c r="K5" i="1"/>
  <c r="G5" i="1"/>
  <c r="N4" i="1"/>
  <c r="J4" i="1"/>
  <c r="B3" i="1"/>
  <c r="F3" i="1"/>
  <c r="J3" i="1"/>
  <c r="N3" i="1"/>
  <c r="B5" i="1"/>
  <c r="C3" i="1"/>
  <c r="G3" i="1"/>
  <c r="K3" i="1"/>
  <c r="O3" i="1"/>
  <c r="D3" i="1"/>
  <c r="H3" i="1"/>
  <c r="L3" i="1"/>
  <c r="B4" i="1"/>
  <c r="E3" i="1"/>
  <c r="I3" i="1"/>
  <c r="M3" i="1"/>
  <c r="D11" i="1" l="1"/>
  <c r="B12" i="1"/>
  <c r="D12" i="1" s="1"/>
</calcChain>
</file>

<file path=xl/sharedStrings.xml><?xml version="1.0" encoding="utf-8"?>
<sst xmlns="http://schemas.openxmlformats.org/spreadsheetml/2006/main" count="41" uniqueCount="38">
  <si>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</si>
  <si>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</si>
  <si>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</si>
  <si>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</si>
  <si>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</si>
  <si>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</si>
  <si>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</si>
  <si>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</si>
  <si>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</si>
  <si>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</si>
  <si>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</si>
  <si>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</si>
  <si>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</si>
  <si>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</si>
  <si>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h</t>
  </si>
  <si>
    <t>f0</t>
  </si>
  <si>
    <t>f+</t>
  </si>
  <si>
    <t>f-</t>
  </si>
  <si>
    <t>Q</t>
  </si>
  <si>
    <t>f+ - f-</t>
  </si>
  <si>
    <t>N</t>
  </si>
  <si>
    <t>d</t>
  </si>
  <si>
    <t>проб</t>
  </si>
  <si>
    <t>осн</t>
  </si>
  <si>
    <t>мод</t>
  </si>
  <si>
    <t>Bmod</t>
  </si>
  <si>
    <t>Ei</t>
  </si>
  <si>
    <t>Delta B</t>
  </si>
  <si>
    <t>Aполн</t>
  </si>
  <si>
    <t>A1/2</t>
  </si>
  <si>
    <t>$V_R$, мВ</t>
  </si>
  <si>
    <t>$V_{\text{перед}}$, мВ</t>
  </si>
  <si>
    <t>$V_{\text{зад}}$, мВ</t>
  </si>
  <si>
    <t>$V_{\text{сред}}$, мВ</t>
  </si>
  <si>
    <t>UR</t>
  </si>
  <si>
    <t>B0</t>
  </si>
  <si>
    <t>muB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</si>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</sst>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F12" sqref="F12"/>
    </sheetView>
  </sheetViews>
  <sheetFormatPr defaultRowHeight="14.4" x14ac:dyDescent="0.3"/>
  <sheetData>
    <row r="1" spans="1:15" x14ac:dyDescent="0.3">
      <c r="A1" t="s">
        <v>0</v>
      </c>
      <c r="B1">
        <v>3.52</v>
      </c>
      <c r="C1">
        <v>5.35</v>
      </c>
      <c r="D1">
        <v>7.14</v>
      </c>
      <c r="E1">
        <v>8.9</v>
      </c>
      <c r="F1">
        <v>10.53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0.44</v>
      </c>
      <c r="C2">
        <v>0.64999999999999991</v>
      </c>
      <c r="D2">
        <v>0.85</v>
      </c>
      <c r="E2">
        <v>1.07</v>
      </c>
      <c r="F2">
        <v>1.2549999999999999</v>
      </c>
      <c r="G2">
        <f t="shared" ref="E2:O2" si="0">G1*G1</f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12.3904</v>
      </c>
      <c r="C3">
        <f t="shared" ref="C3:O4" si="1">C1*C1</f>
        <v>28.622499999999995</v>
      </c>
      <c r="D3">
        <f t="shared" si="1"/>
        <v>50.979599999999998</v>
      </c>
      <c r="E3">
        <f t="shared" si="1"/>
        <v>79.210000000000008</v>
      </c>
      <c r="F3">
        <f t="shared" si="1"/>
        <v>110.88089999999998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0.19359999999999999</v>
      </c>
      <c r="C4">
        <f t="shared" si="1"/>
        <v>0.42249999999999988</v>
      </c>
      <c r="D4">
        <f t="shared" si="1"/>
        <v>0.72249999999999992</v>
      </c>
      <c r="E4">
        <f t="shared" si="1"/>
        <v>1.1449</v>
      </c>
      <c r="F4">
        <f t="shared" si="1"/>
        <v>1.5750249999999997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1.5488</v>
      </c>
      <c r="C5">
        <f t="shared" ref="C5:O5" si="2">C1*C2</f>
        <v>3.4774999999999991</v>
      </c>
      <c r="D5">
        <f t="shared" si="2"/>
        <v>6.069</v>
      </c>
      <c r="E5">
        <f t="shared" si="2"/>
        <v>9.5230000000000015</v>
      </c>
      <c r="F5">
        <f t="shared" si="2"/>
        <v>13.215149999999998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SUM(B1:F1)/5</f>
        <v>7.0879999999999992</v>
      </c>
    </row>
    <row r="7" spans="1:15" x14ac:dyDescent="0.3">
      <c r="A7" t="s">
        <v>6</v>
      </c>
      <c r="B7">
        <f>SUM(B2:F2)/5</f>
        <v>0.85299999999999998</v>
      </c>
    </row>
    <row r="8" spans="1:15" x14ac:dyDescent="0.3">
      <c r="A8" t="s">
        <v>7</v>
      </c>
      <c r="B8">
        <f>SUM(B3:F3)/5</f>
        <v>56.416679999999999</v>
      </c>
    </row>
    <row r="9" spans="1:15" x14ac:dyDescent="0.3">
      <c r="A9" t="s">
        <v>8</v>
      </c>
      <c r="B9">
        <f>SUM(B4:F4)/5</f>
        <v>0.8117049999999999</v>
      </c>
    </row>
    <row r="10" spans="1:15" x14ac:dyDescent="0.3">
      <c r="A10" t="s">
        <v>9</v>
      </c>
      <c r="B10">
        <f>SUM(B5:F5)/5</f>
        <v>6.7666899999999996</v>
      </c>
    </row>
    <row r="11" spans="1:15" x14ac:dyDescent="0.3">
      <c r="A11" t="s">
        <v>10</v>
      </c>
      <c r="B11">
        <f>(B10-B6*B7)/(B8-B6*B6)</f>
        <v>0.11666399004295962</v>
      </c>
      <c r="C11" t="s">
        <v>11</v>
      </c>
      <c r="D11">
        <f>B7-B11*B6</f>
        <v>2.6085638575502279E-2</v>
      </c>
      <c r="E11" t="s">
        <v>12</v>
      </c>
      <c r="F11">
        <f>B10/B8</f>
        <v>0.11994130104784613</v>
      </c>
    </row>
    <row r="12" spans="1:15" x14ac:dyDescent="0.3">
      <c r="A12" t="s">
        <v>13</v>
      </c>
      <c r="B12">
        <f>SQRT(((B9-B7*B7)/(B8-B6*B6) - B11*B11)/5)</f>
        <v>8.978193726768307E-4</v>
      </c>
      <c r="C12" t="s">
        <v>13</v>
      </c>
      <c r="D12">
        <f>B12*SQRT(B8)</f>
        <v>6.7436144842329352E-3</v>
      </c>
      <c r="E12" t="s">
        <v>13</v>
      </c>
      <c r="F12">
        <f>SQRT((B9/B8) - F11*F11)/SQRT(5)</f>
        <v>5.936072707912307E-4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zoomScale="85" zoomScaleNormal="85" workbookViewId="0">
      <selection activeCell="B28" sqref="B28"/>
    </sheetView>
  </sheetViews>
  <sheetFormatPr defaultRowHeight="14.4" x14ac:dyDescent="0.3"/>
  <cols>
    <col min="1" max="1" width="29.109375" customWidth="1"/>
    <col min="2" max="2" width="12.44140625" bestFit="1" customWidth="1"/>
    <col min="3" max="3" width="17.21875" customWidth="1"/>
    <col min="4" max="4" width="18.5546875" customWidth="1"/>
    <col min="5" max="5" width="18.44140625" customWidth="1"/>
    <col min="6" max="6" width="19.5546875" customWidth="1"/>
  </cols>
  <sheetData>
    <row r="1" spans="1:38" x14ac:dyDescent="0.3">
      <c r="A1" t="s">
        <v>15</v>
      </c>
      <c r="B1">
        <v>125.3</v>
      </c>
      <c r="C1">
        <v>0.2</v>
      </c>
      <c r="D1">
        <f>C1/B1</f>
        <v>1.5961691939345571E-3</v>
      </c>
      <c r="G1" t="s">
        <v>22</v>
      </c>
      <c r="I1" t="s">
        <v>23</v>
      </c>
      <c r="K1" t="s">
        <v>24</v>
      </c>
    </row>
    <row r="2" spans="1:38" x14ac:dyDescent="0.3">
      <c r="A2" t="s">
        <v>16</v>
      </c>
      <c r="B2">
        <v>125.9</v>
      </c>
      <c r="C2">
        <v>0.2</v>
      </c>
      <c r="F2" t="s">
        <v>20</v>
      </c>
      <c r="G2">
        <v>49</v>
      </c>
      <c r="I2">
        <v>5500</v>
      </c>
      <c r="K2">
        <v>1500</v>
      </c>
    </row>
    <row r="3" spans="1:38" x14ac:dyDescent="0.3">
      <c r="A3" t="s">
        <v>17</v>
      </c>
      <c r="B3">
        <v>124.6</v>
      </c>
      <c r="C3">
        <v>0.2</v>
      </c>
      <c r="F3" t="s">
        <v>21</v>
      </c>
      <c r="G3">
        <f>14.9/1000</f>
        <v>1.49E-2</v>
      </c>
      <c r="H3">
        <f>0.1/1000</f>
        <v>1E-4</v>
      </c>
      <c r="I3">
        <v>0.25</v>
      </c>
      <c r="J3">
        <v>0.01</v>
      </c>
      <c r="K3">
        <v>0.3</v>
      </c>
      <c r="L3">
        <v>0.01</v>
      </c>
    </row>
    <row r="4" spans="1:38" x14ac:dyDescent="0.3">
      <c r="A4" t="s">
        <v>19</v>
      </c>
      <c r="B4">
        <f>B2-B3</f>
        <v>1.3000000000000114</v>
      </c>
      <c r="C4">
        <f>SQRT(2)*C3</f>
        <v>0.28284271247461906</v>
      </c>
    </row>
    <row r="5" spans="1:38" x14ac:dyDescent="0.3">
      <c r="A5" t="s">
        <v>18</v>
      </c>
      <c r="B5">
        <f>B1/(B2-B3)</f>
        <v>96.384615384614534</v>
      </c>
      <c r="C5">
        <f>C1*SQRT(1/B4^2 + 2*B1*B1/B4^4)</f>
        <v>20.971092058981291</v>
      </c>
    </row>
    <row r="6" spans="1:38" x14ac:dyDescent="0.3">
      <c r="A6" t="s">
        <v>26</v>
      </c>
      <c r="B6">
        <f>0.9/1000</f>
        <v>8.9999999999999998E-4</v>
      </c>
      <c r="C6">
        <f>0.04/1000</f>
        <v>4.0000000000000003E-5</v>
      </c>
    </row>
    <row r="7" spans="1:38" x14ac:dyDescent="0.3">
      <c r="A7" t="s">
        <v>25</v>
      </c>
      <c r="B7">
        <f>2*SQRT(2)*B6/(PI()*PI()*G3*G3*G2*50)</f>
        <v>4.7418644630429466E-4</v>
      </c>
      <c r="C7">
        <f>SQRT(8*C6*C6/(PI()*PI()*PI()*PI()*G3*G3*G3*G3*G2*50*G2*50) + 8*B6*B6*H3*H3/(PI()*PI()*PI()*PI()*G3^6*G2*50*G2*50))</f>
        <v>2.1313885115765529E-5</v>
      </c>
    </row>
    <row r="8" spans="1:38" x14ac:dyDescent="0.3">
      <c r="B8">
        <f>B7*1000</f>
        <v>0.47418644630429468</v>
      </c>
      <c r="C8">
        <f>C7*1000</f>
        <v>2.131388511576553E-2</v>
      </c>
      <c r="D8">
        <f>C8/B8</f>
        <v>4.4948322082761505E-2</v>
      </c>
    </row>
    <row r="10" spans="1:38" x14ac:dyDescent="0.3">
      <c r="A10" t="s">
        <v>28</v>
      </c>
      <c r="B10">
        <v>7</v>
      </c>
      <c r="C10">
        <v>0.2</v>
      </c>
      <c r="P10">
        <v>0.44</v>
      </c>
      <c r="Q10">
        <v>0.64999999999999991</v>
      </c>
      <c r="R10">
        <v>0.85</v>
      </c>
      <c r="S10">
        <v>1.07</v>
      </c>
      <c r="T10">
        <v>1.2549999999999999</v>
      </c>
    </row>
    <row r="11" spans="1:38" x14ac:dyDescent="0.3">
      <c r="A11" t="s">
        <v>29</v>
      </c>
      <c r="B11">
        <v>1.6</v>
      </c>
      <c r="C11">
        <v>0.2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3">
      <c r="A12" t="s">
        <v>27</v>
      </c>
      <c r="B12">
        <f>B8*B11/B10</f>
        <v>0.10838547344098164</v>
      </c>
      <c r="C12">
        <f>B12*SQRT((C11/B11)^2 + (C10/B10)^2 + (C8/B8)^2)</f>
        <v>1.472674161919825E-2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Q13">
        <v>3.52</v>
      </c>
      <c r="R13">
        <v>0.44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3">
      <c r="A14" t="s">
        <v>30</v>
      </c>
      <c r="B14">
        <v>3.52</v>
      </c>
      <c r="C14">
        <v>5.35</v>
      </c>
      <c r="D14">
        <v>7.14</v>
      </c>
      <c r="E14">
        <v>8.9</v>
      </c>
      <c r="F14">
        <v>10.53</v>
      </c>
      <c r="Q14">
        <v>5.35</v>
      </c>
      <c r="R14">
        <v>0.64999999999999991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t="s">
        <v>31</v>
      </c>
      <c r="B15">
        <v>0.46</v>
      </c>
      <c r="C15">
        <v>0.61</v>
      </c>
      <c r="D15">
        <v>0.83</v>
      </c>
      <c r="E15">
        <v>1.06</v>
      </c>
      <c r="F15">
        <v>1.25</v>
      </c>
      <c r="Q15">
        <v>7.14</v>
      </c>
      <c r="R15">
        <v>0.85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3">
      <c r="A16" t="s">
        <v>32</v>
      </c>
      <c r="B16">
        <v>0.42</v>
      </c>
      <c r="C16">
        <v>0.69</v>
      </c>
      <c r="D16">
        <v>0.87</v>
      </c>
      <c r="E16">
        <v>1.08</v>
      </c>
      <c r="F16">
        <v>1.26</v>
      </c>
      <c r="Q16">
        <v>8.9</v>
      </c>
      <c r="R16">
        <v>1.07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t="s">
        <v>33</v>
      </c>
      <c r="B17">
        <f>AVERAGE(B15:B16)</f>
        <v>0.44</v>
      </c>
      <c r="C17">
        <f t="shared" ref="C17:F17" si="0">AVERAGE(C15:C16)</f>
        <v>0.64999999999999991</v>
      </c>
      <c r="D17">
        <f t="shared" si="0"/>
        <v>0.85</v>
      </c>
      <c r="E17">
        <f t="shared" si="0"/>
        <v>1.07</v>
      </c>
      <c r="F17">
        <f t="shared" si="0"/>
        <v>1.2549999999999999</v>
      </c>
      <c r="Q17">
        <v>10.53</v>
      </c>
      <c r="R17">
        <v>1.2549999999999999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"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t="s">
        <v>12</v>
      </c>
      <c r="B19">
        <v>0.12</v>
      </c>
      <c r="C19">
        <v>7.0000000000000001E-3</v>
      </c>
    </row>
    <row r="20" spans="1:38" x14ac:dyDescent="0.3">
      <c r="A20" t="s">
        <v>34</v>
      </c>
      <c r="B20">
        <f>93.3/1000</f>
        <v>9.3299999999999994E-2</v>
      </c>
      <c r="C20">
        <f>0.7/1000</f>
        <v>6.9999999999999999E-4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t="s">
        <v>35</v>
      </c>
      <c r="B21">
        <f>4*B19*B20/(PI()*PI()*2*50*G3*G3*G2)</f>
        <v>4.1711376195027565E-3</v>
      </c>
      <c r="C21">
        <f>SQRT( 16*C19^2*B20^2/(PI()*PI()*PI()*PI()*4*50*50*G3*G3*G3*G3*G2^2) + 16*B19^2*C20^2/(PI()*PI()*PI()*PI()*4*50*50*G3*G3*G3*G3*G2^2) + 16*H3*H3*B19^2*B20^2/(PI()*PI()*PI()*PI()*4*50*50*G3*G3*G3*G3*G3*G3*G2^2) )</f>
        <v>2.4691270991028394E-4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B22">
        <f>B21*1000</f>
        <v>4.1711376195027565</v>
      </c>
      <c r="C22">
        <f>C21*1000</f>
        <v>0.24691270991028394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t="s">
        <v>36</v>
      </c>
      <c r="B24">
        <f>927.4*10^(-26)</f>
        <v>9.2739999999999991E-24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t="s">
        <v>14</v>
      </c>
      <c r="B25">
        <f>6.6*10^(-34)</f>
        <v>6.6000000000000005E-34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t="s">
        <v>37</v>
      </c>
      <c r="B26">
        <f>B25*B1*10^6/(B21*B24)</f>
        <v>2.1378311267578312</v>
      </c>
      <c r="C26">
        <f>SQRT( B25^2*C1^2*10^12/(B21^2*B24^2) + B25^2*C21*C21*B1^2*10^12/(B21^4*B24^2))</f>
        <v>0.1265960480199621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B27">
        <f>B26-C26</f>
        <v>2.0112350787378692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</sheetData>
  <sortState ref="I11:K54">
    <sortCondition descending="1" ref="K11:K5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2020-11-05T16:39:59Z</dcterms:modified>
</cp:coreProperties>
</file>