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  <sheet name="Лист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7" i="2" l="1"/>
  <c r="O26" i="2"/>
  <c r="O25" i="2"/>
  <c r="N25" i="2"/>
  <c r="O23" i="2"/>
  <c r="N26" i="2"/>
  <c r="N27" i="2"/>
  <c r="L26" i="2" l="1"/>
  <c r="L27" i="2"/>
  <c r="L25" i="2"/>
  <c r="K25" i="2"/>
  <c r="N23" i="2"/>
  <c r="K26" i="2"/>
  <c r="K27" i="2"/>
  <c r="F25" i="2"/>
  <c r="G25" i="2"/>
  <c r="I25" i="2" s="1"/>
  <c r="H25" i="2"/>
  <c r="J25" i="2" s="1"/>
  <c r="F26" i="2"/>
  <c r="G26" i="2"/>
  <c r="I26" i="2" s="1"/>
  <c r="H26" i="2"/>
  <c r="J26" i="2" s="1"/>
  <c r="F27" i="2"/>
  <c r="G27" i="2"/>
  <c r="H27" i="2" s="1"/>
  <c r="P14" i="2"/>
  <c r="O14" i="2"/>
  <c r="K14" i="2"/>
  <c r="N14" i="2"/>
  <c r="N15" i="2"/>
  <c r="O15" i="2" s="1"/>
  <c r="M15" i="2"/>
  <c r="M16" i="2"/>
  <c r="M17" i="2"/>
  <c r="M14" i="2"/>
  <c r="K15" i="2"/>
  <c r="K18" i="2"/>
  <c r="J17" i="2"/>
  <c r="J18" i="2"/>
  <c r="P18" i="2" s="1"/>
  <c r="P19" i="2" s="1"/>
  <c r="J14" i="2"/>
  <c r="I15" i="2"/>
  <c r="I16" i="2"/>
  <c r="I17" i="2"/>
  <c r="I18" i="2"/>
  <c r="I14" i="2"/>
  <c r="H15" i="2"/>
  <c r="J15" i="2" s="1"/>
  <c r="P15" i="2" s="1"/>
  <c r="H16" i="2"/>
  <c r="J16" i="2" s="1"/>
  <c r="H17" i="2"/>
  <c r="H18" i="2"/>
  <c r="H14" i="2"/>
  <c r="G15" i="2"/>
  <c r="G16" i="2"/>
  <c r="G17" i="2"/>
  <c r="G18" i="2"/>
  <c r="G14" i="2"/>
  <c r="M8" i="2"/>
  <c r="K9" i="2"/>
  <c r="K10" i="2"/>
  <c r="K8" i="2"/>
  <c r="F15" i="2"/>
  <c r="F16" i="2"/>
  <c r="F17" i="2"/>
  <c r="F18" i="2"/>
  <c r="M18" i="2" s="1"/>
  <c r="N18" i="2" s="1"/>
  <c r="O18" i="2" s="1"/>
  <c r="F14" i="2"/>
  <c r="F8" i="2"/>
  <c r="O19" i="2" l="1"/>
  <c r="I27" i="2"/>
  <c r="J27" i="2" s="1"/>
  <c r="E2" i="1"/>
  <c r="E4" i="1"/>
  <c r="F2" i="1"/>
  <c r="F5" i="1"/>
  <c r="G2" i="1"/>
  <c r="G4" i="1"/>
  <c r="H2" i="1"/>
  <c r="I2" i="1"/>
  <c r="J2" i="1"/>
  <c r="J5" i="1"/>
  <c r="K2" i="1"/>
  <c r="K4" i="1"/>
  <c r="L2" i="1"/>
  <c r="M2" i="1"/>
  <c r="M5" i="1"/>
  <c r="N2" i="1"/>
  <c r="N5" i="1"/>
  <c r="O2" i="1"/>
  <c r="O4" i="1"/>
  <c r="D2" i="1"/>
  <c r="M4" i="1"/>
  <c r="L4" i="1"/>
  <c r="I4" i="1"/>
  <c r="H4" i="1"/>
  <c r="F4" i="1"/>
  <c r="D4" i="1"/>
  <c r="C4" i="1"/>
  <c r="O5" i="1"/>
  <c r="L5" i="1"/>
  <c r="I5" i="1"/>
  <c r="H5" i="1"/>
  <c r="E5" i="1"/>
  <c r="D5" i="1"/>
  <c r="C5" i="1"/>
  <c r="K5" i="1"/>
  <c r="G5" i="1"/>
  <c r="N4" i="1"/>
  <c r="J4" i="1"/>
  <c r="B7" i="1"/>
  <c r="B3" i="1"/>
  <c r="F3" i="1"/>
  <c r="J3" i="1"/>
  <c r="N3" i="1"/>
  <c r="B5" i="1"/>
  <c r="B10" i="1"/>
  <c r="C3" i="1"/>
  <c r="G3" i="1"/>
  <c r="K3" i="1"/>
  <c r="O3" i="1"/>
  <c r="D3" i="1"/>
  <c r="H3" i="1"/>
  <c r="L3" i="1"/>
  <c r="B4" i="1"/>
  <c r="B6" i="1"/>
  <c r="E3" i="1"/>
  <c r="I3" i="1"/>
  <c r="M3" i="1"/>
  <c r="B9" i="1"/>
  <c r="B8" i="1"/>
  <c r="F11" i="1"/>
  <c r="F12" i="1"/>
  <c r="B11" i="1"/>
  <c r="D11" i="1"/>
  <c r="B12" i="1"/>
  <c r="D12" i="1"/>
</calcChain>
</file>

<file path=xl/sharedStrings.xml><?xml version="1.0" encoding="utf-8"?>
<sst xmlns="http://schemas.openxmlformats.org/spreadsheetml/2006/main" count="61" uniqueCount="53">
  <si>
    <t>x</t>
  </si>
  <si>
    <t>y</t>
  </si>
  <si>
    <t>x2</t>
  </si>
  <si>
    <t>y2</t>
  </si>
  <si>
    <t>xy</t>
  </si>
  <si>
    <t>&lt;x&gt;</t>
  </si>
  <si>
    <t>&lt;y&gt;</t>
  </si>
  <si>
    <t>&lt;x2&gt;</t>
  </si>
  <si>
    <t>&lt;y2&gt;</t>
  </si>
  <si>
    <t>&lt;xy&gt;</t>
  </si>
  <si>
    <t>b</t>
  </si>
  <si>
    <t>a</t>
  </si>
  <si>
    <t>k</t>
  </si>
  <si>
    <t>sigma</t>
  </si>
  <si>
    <t>lambda</t>
  </si>
  <si>
    <t>H_a</t>
  </si>
  <si>
    <t>H_b</t>
  </si>
  <si>
    <t>H_d</t>
  </si>
  <si>
    <t>H_g</t>
  </si>
  <si>
    <t xml:space="preserve">theta </t>
  </si>
  <si>
    <t>sigma theta</t>
  </si>
  <si>
    <t>1°</t>
  </si>
  <si>
    <t>theta °</t>
  </si>
  <si>
    <t>lambda Å</t>
  </si>
  <si>
    <t>ртут</t>
  </si>
  <si>
    <t>фиолет</t>
  </si>
  <si>
    <t>тета</t>
  </si>
  <si>
    <t>голубая</t>
  </si>
  <si>
    <t>зеленый</t>
  </si>
  <si>
    <t>красный</t>
  </si>
  <si>
    <t>hv1,0</t>
  </si>
  <si>
    <t>hv1,5</t>
  </si>
  <si>
    <t>hvгр</t>
  </si>
  <si>
    <t>ЙОД</t>
  </si>
  <si>
    <t>ВОДОРОД</t>
  </si>
  <si>
    <t>l0</t>
  </si>
  <si>
    <t>t0</t>
  </si>
  <si>
    <t>C</t>
  </si>
  <si>
    <t>theta-t0</t>
  </si>
  <si>
    <t>sigmaC/tt</t>
  </si>
  <si>
    <t>Csigmat/tt^2</t>
  </si>
  <si>
    <t>1/4 - 1/m2</t>
  </si>
  <si>
    <t>m</t>
  </si>
  <si>
    <t>1/lam</t>
  </si>
  <si>
    <t>1/ - 1/ / lam</t>
  </si>
  <si>
    <t xml:space="preserve">sigma </t>
  </si>
  <si>
    <t>hv</t>
  </si>
  <si>
    <t>hv2</t>
  </si>
  <si>
    <t>hv1</t>
  </si>
  <si>
    <t>hvэл</t>
  </si>
  <si>
    <t>D1</t>
  </si>
  <si>
    <t>D2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</si>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</sst>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8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K12" sqref="K12"/>
    </sheetView>
  </sheetViews>
  <sheetFormatPr defaultRowHeight="14.4" x14ac:dyDescent="0.3"/>
  <sheetData>
    <row r="1" spans="1:15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2">
      <c r="A2" t="s">
        <v>1</v>
      </c>
      <c r="B2">
        <v>1</v>
      </c>
      <c r="C2">
        <v>4</v>
      </c>
      <c r="D2">
        <f>D1*D1</f>
        <v>9</v>
      </c>
      <c r="E2">
        <f t="shared" ref="E2:O2" si="0">E1*E1</f>
        <v>16</v>
      </c>
      <c r="F2">
        <f t="shared" si="0"/>
        <v>25</v>
      </c>
      <c r="G2">
        <f t="shared" si="0"/>
        <v>36</v>
      </c>
      <c r="H2">
        <f t="shared" si="0"/>
        <v>49</v>
      </c>
      <c r="I2">
        <f t="shared" si="0"/>
        <v>64</v>
      </c>
      <c r="J2">
        <f t="shared" si="0"/>
        <v>81</v>
      </c>
      <c r="K2">
        <f t="shared" si="0"/>
        <v>100</v>
      </c>
      <c r="L2">
        <f t="shared" si="0"/>
        <v>121</v>
      </c>
      <c r="M2">
        <f t="shared" si="0"/>
        <v>144</v>
      </c>
      <c r="N2">
        <f t="shared" si="0"/>
        <v>169</v>
      </c>
      <c r="O2">
        <f t="shared" si="0"/>
        <v>196</v>
      </c>
    </row>
    <row r="3" spans="1:15" x14ac:dyDescent="0.2">
      <c r="A3" t="s">
        <v>2</v>
      </c>
      <c r="B3">
        <f>B1*B1</f>
        <v>1</v>
      </c>
      <c r="C3">
        <f t="shared" ref="C3:O4" si="1">C1*C1</f>
        <v>4</v>
      </c>
      <c r="D3">
        <f t="shared" si="1"/>
        <v>9</v>
      </c>
      <c r="E3">
        <f t="shared" si="1"/>
        <v>16</v>
      </c>
      <c r="F3">
        <f t="shared" si="1"/>
        <v>25</v>
      </c>
      <c r="G3">
        <f t="shared" si="1"/>
        <v>36</v>
      </c>
      <c r="H3">
        <f t="shared" si="1"/>
        <v>49</v>
      </c>
      <c r="I3">
        <f t="shared" si="1"/>
        <v>64</v>
      </c>
      <c r="J3">
        <f t="shared" si="1"/>
        <v>81</v>
      </c>
      <c r="K3">
        <f t="shared" si="1"/>
        <v>100</v>
      </c>
      <c r="L3">
        <f t="shared" si="1"/>
        <v>121</v>
      </c>
      <c r="M3">
        <f t="shared" si="1"/>
        <v>144</v>
      </c>
      <c r="N3">
        <f t="shared" si="1"/>
        <v>169</v>
      </c>
      <c r="O3">
        <f t="shared" si="1"/>
        <v>196</v>
      </c>
    </row>
    <row r="4" spans="1:15" x14ac:dyDescent="0.2">
      <c r="A4" t="s">
        <v>3</v>
      </c>
      <c r="B4">
        <f>B2*B2</f>
        <v>1</v>
      </c>
      <c r="C4">
        <f t="shared" si="1"/>
        <v>16</v>
      </c>
      <c r="D4">
        <f t="shared" si="1"/>
        <v>81</v>
      </c>
      <c r="E4">
        <f t="shared" si="1"/>
        <v>256</v>
      </c>
      <c r="F4">
        <f t="shared" si="1"/>
        <v>625</v>
      </c>
      <c r="G4">
        <f t="shared" si="1"/>
        <v>1296</v>
      </c>
      <c r="H4">
        <f t="shared" si="1"/>
        <v>2401</v>
      </c>
      <c r="I4">
        <f t="shared" si="1"/>
        <v>4096</v>
      </c>
      <c r="J4">
        <f t="shared" si="1"/>
        <v>6561</v>
      </c>
      <c r="K4">
        <f t="shared" si="1"/>
        <v>10000</v>
      </c>
      <c r="L4">
        <f t="shared" si="1"/>
        <v>14641</v>
      </c>
      <c r="M4">
        <f t="shared" si="1"/>
        <v>20736</v>
      </c>
      <c r="N4">
        <f t="shared" si="1"/>
        <v>28561</v>
      </c>
      <c r="O4">
        <f t="shared" si="1"/>
        <v>38416</v>
      </c>
    </row>
    <row r="5" spans="1:15" x14ac:dyDescent="0.2">
      <c r="A5" t="s">
        <v>4</v>
      </c>
      <c r="B5">
        <f>B1*B2</f>
        <v>1</v>
      </c>
      <c r="C5">
        <f t="shared" ref="C5:O5" si="2">C1*C2</f>
        <v>8</v>
      </c>
      <c r="D5">
        <f t="shared" si="2"/>
        <v>27</v>
      </c>
      <c r="E5">
        <f t="shared" si="2"/>
        <v>64</v>
      </c>
      <c r="F5">
        <f t="shared" si="2"/>
        <v>125</v>
      </c>
      <c r="G5">
        <f t="shared" si="2"/>
        <v>216</v>
      </c>
      <c r="H5">
        <f t="shared" si="2"/>
        <v>343</v>
      </c>
      <c r="I5">
        <f t="shared" si="2"/>
        <v>512</v>
      </c>
      <c r="J5">
        <f t="shared" si="2"/>
        <v>729</v>
      </c>
      <c r="K5">
        <f t="shared" si="2"/>
        <v>1000</v>
      </c>
      <c r="L5">
        <f t="shared" si="2"/>
        <v>1331</v>
      </c>
      <c r="M5">
        <f t="shared" si="2"/>
        <v>1728</v>
      </c>
      <c r="N5">
        <f t="shared" si="2"/>
        <v>2197</v>
      </c>
      <c r="O5">
        <f t="shared" si="2"/>
        <v>2744</v>
      </c>
    </row>
    <row r="6" spans="1:15" x14ac:dyDescent="0.2">
      <c r="A6" t="s">
        <v>5</v>
      </c>
      <c r="B6">
        <f>SUM(B1:O1)/14</f>
        <v>7.5</v>
      </c>
    </row>
    <row r="7" spans="1:15" x14ac:dyDescent="0.2">
      <c r="A7" t="s">
        <v>6</v>
      </c>
      <c r="B7">
        <f>SUM(B2:O2)/14</f>
        <v>72.5</v>
      </c>
    </row>
    <row r="8" spans="1:15" x14ac:dyDescent="0.2">
      <c r="A8" t="s">
        <v>7</v>
      </c>
      <c r="B8">
        <f>SUM(B3:O3)/14</f>
        <v>72.5</v>
      </c>
    </row>
    <row r="9" spans="1:15" x14ac:dyDescent="0.2">
      <c r="A9" t="s">
        <v>8</v>
      </c>
      <c r="B9">
        <f>SUM(B4:O4)/14</f>
        <v>9120.5</v>
      </c>
    </row>
    <row r="10" spans="1:15" x14ac:dyDescent="0.2">
      <c r="A10" t="s">
        <v>9</v>
      </c>
      <c r="B10">
        <f>SUM(B5:O5)/14</f>
        <v>787.5</v>
      </c>
    </row>
    <row r="11" spans="1:15" x14ac:dyDescent="0.2">
      <c r="A11" t="s">
        <v>10</v>
      </c>
      <c r="B11">
        <f>(B10-B6*B7)/(B8-B6*B6)</f>
        <v>15</v>
      </c>
      <c r="C11" t="s">
        <v>11</v>
      </c>
      <c r="D11">
        <f>B7-B11*B6</f>
        <v>-40</v>
      </c>
      <c r="E11" t="s">
        <v>12</v>
      </c>
      <c r="F11">
        <f>B10/B8</f>
        <v>10.862068965517242</v>
      </c>
    </row>
    <row r="12" spans="1:15" x14ac:dyDescent="0.2">
      <c r="A12" t="s">
        <v>13</v>
      </c>
      <c r="B12">
        <f>SQRT(((B9-B7*B7)/(B8-B6*B6) - B11*B11)/14)</f>
        <v>0.95618288746751534</v>
      </c>
      <c r="C12" t="s">
        <v>13</v>
      </c>
      <c r="D12">
        <f>B12*SQRT(B8)</f>
        <v>8.1416039135857226</v>
      </c>
      <c r="E12" t="s">
        <v>13</v>
      </c>
      <c r="F12">
        <f>SQRT((B9/B8) - F11*F11)/SQRT(15)</f>
        <v>0.72182443795090911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A10" workbookViewId="0">
      <selection activeCell="S31" sqref="S31"/>
    </sheetView>
  </sheetViews>
  <sheetFormatPr defaultRowHeight="14.4" x14ac:dyDescent="0.3"/>
  <cols>
    <col min="1" max="1" width="11.5546875" customWidth="1"/>
    <col min="9" max="9" width="11.109375" customWidth="1"/>
    <col min="13" max="13" width="11" customWidth="1"/>
    <col min="15" max="15" width="11" bestFit="1" customWidth="1"/>
    <col min="16" max="16" width="12" bestFit="1" customWidth="1"/>
  </cols>
  <sheetData>
    <row r="1" spans="1:19" x14ac:dyDescent="0.3">
      <c r="A1" t="s">
        <v>23</v>
      </c>
      <c r="B1">
        <v>5401</v>
      </c>
      <c r="C1">
        <v>5852</v>
      </c>
      <c r="D1">
        <v>5945</v>
      </c>
      <c r="E1">
        <v>6030</v>
      </c>
      <c r="F1">
        <v>6074</v>
      </c>
      <c r="G1">
        <v>6143</v>
      </c>
      <c r="H1">
        <v>6217</v>
      </c>
      <c r="I1">
        <v>6267</v>
      </c>
      <c r="J1">
        <v>6305</v>
      </c>
    </row>
    <row r="2" spans="1:19" x14ac:dyDescent="0.3">
      <c r="A2" t="s">
        <v>22</v>
      </c>
      <c r="B2">
        <v>1897</v>
      </c>
      <c r="C2">
        <v>2158</v>
      </c>
      <c r="D2">
        <v>2204</v>
      </c>
      <c r="E2">
        <v>2241</v>
      </c>
      <c r="F2">
        <v>2261</v>
      </c>
      <c r="G2">
        <v>2292</v>
      </c>
      <c r="H2">
        <v>2322</v>
      </c>
      <c r="I2">
        <v>2342</v>
      </c>
      <c r="J2">
        <v>2356</v>
      </c>
    </row>
    <row r="3" spans="1:19" x14ac:dyDescent="0.3">
      <c r="A3" t="s">
        <v>23</v>
      </c>
      <c r="B3">
        <v>6334</v>
      </c>
      <c r="C3">
        <v>6383</v>
      </c>
      <c r="D3">
        <v>6507</v>
      </c>
      <c r="E3">
        <v>6599</v>
      </c>
      <c r="F3">
        <v>5791</v>
      </c>
      <c r="G3">
        <v>5461</v>
      </c>
      <c r="H3">
        <v>4916</v>
      </c>
      <c r="I3">
        <v>4358</v>
      </c>
      <c r="J3">
        <v>4047</v>
      </c>
    </row>
    <row r="4" spans="1:19" x14ac:dyDescent="0.3">
      <c r="A4" t="s">
        <v>22</v>
      </c>
      <c r="B4">
        <v>2368</v>
      </c>
      <c r="C4">
        <v>2386</v>
      </c>
      <c r="D4">
        <v>2431</v>
      </c>
      <c r="E4">
        <v>2466</v>
      </c>
      <c r="F4">
        <v>2128</v>
      </c>
      <c r="G4">
        <v>1936</v>
      </c>
      <c r="H4">
        <v>1515</v>
      </c>
      <c r="I4">
        <v>838</v>
      </c>
      <c r="J4">
        <v>296</v>
      </c>
    </row>
    <row r="5" spans="1:19" ht="15" x14ac:dyDescent="0.2"/>
    <row r="6" spans="1:19" ht="15" x14ac:dyDescent="0.2"/>
    <row r="7" spans="1:19" ht="15" x14ac:dyDescent="0.2">
      <c r="B7" t="s">
        <v>14</v>
      </c>
      <c r="C7" t="s">
        <v>19</v>
      </c>
    </row>
    <row r="8" spans="1:19" x14ac:dyDescent="0.3">
      <c r="A8" t="s">
        <v>15</v>
      </c>
      <c r="F8">
        <f>MAX(B2:S2)</f>
        <v>2356</v>
      </c>
      <c r="H8" t="s">
        <v>35</v>
      </c>
      <c r="I8">
        <v>2367</v>
      </c>
      <c r="J8">
        <v>15</v>
      </c>
      <c r="K8">
        <f>J8/I8</f>
        <v>6.3371356147021544E-3</v>
      </c>
      <c r="M8">
        <f>SQRT(121+25)</f>
        <v>12.083045973594572</v>
      </c>
    </row>
    <row r="9" spans="1:19" x14ac:dyDescent="0.3">
      <c r="A9" t="s">
        <v>16</v>
      </c>
      <c r="B9">
        <v>1459</v>
      </c>
      <c r="H9" t="s">
        <v>36</v>
      </c>
      <c r="I9">
        <v>3900</v>
      </c>
      <c r="J9">
        <v>12</v>
      </c>
      <c r="K9">
        <f t="shared" ref="K9:K10" si="0">J9/I9</f>
        <v>3.0769230769230769E-3</v>
      </c>
      <c r="O9" t="s">
        <v>24</v>
      </c>
    </row>
    <row r="10" spans="1:19" x14ac:dyDescent="0.3">
      <c r="A10" t="s">
        <v>18</v>
      </c>
      <c r="B10">
        <v>1459</v>
      </c>
      <c r="H10" t="s">
        <v>37</v>
      </c>
      <c r="I10">
        <v>6070000</v>
      </c>
      <c r="J10">
        <v>60000</v>
      </c>
      <c r="K10">
        <f t="shared" si="0"/>
        <v>9.8846787479406912E-3</v>
      </c>
    </row>
    <row r="11" spans="1:19" x14ac:dyDescent="0.3">
      <c r="A11" t="s">
        <v>17</v>
      </c>
      <c r="B11">
        <v>824</v>
      </c>
    </row>
    <row r="12" spans="1:19" x14ac:dyDescent="0.3">
      <c r="Q12">
        <v>1897</v>
      </c>
      <c r="R12">
        <v>5401</v>
      </c>
      <c r="S12">
        <v>1</v>
      </c>
    </row>
    <row r="13" spans="1:19" x14ac:dyDescent="0.3">
      <c r="D13" t="s">
        <v>34</v>
      </c>
      <c r="E13" t="s">
        <v>26</v>
      </c>
      <c r="F13" t="s">
        <v>14</v>
      </c>
      <c r="G13" t="s">
        <v>38</v>
      </c>
      <c r="H13" t="s">
        <v>39</v>
      </c>
      <c r="I13" t="s">
        <v>40</v>
      </c>
      <c r="J13" t="s">
        <v>13</v>
      </c>
      <c r="K13" t="s">
        <v>41</v>
      </c>
      <c r="L13" t="s">
        <v>42</v>
      </c>
      <c r="M13" t="s">
        <v>43</v>
      </c>
      <c r="N13" t="s">
        <v>44</v>
      </c>
      <c r="P13" t="s">
        <v>45</v>
      </c>
      <c r="Q13">
        <v>2158</v>
      </c>
      <c r="R13">
        <v>5852</v>
      </c>
      <c r="S13">
        <v>2</v>
      </c>
    </row>
    <row r="14" spans="1:19" x14ac:dyDescent="0.3">
      <c r="A14" t="s">
        <v>20</v>
      </c>
      <c r="B14" t="s">
        <v>21</v>
      </c>
      <c r="D14" t="s">
        <v>25</v>
      </c>
      <c r="E14">
        <v>824</v>
      </c>
      <c r="F14">
        <f>$I$8-$I$10/(E14-$I$9)</f>
        <v>4340.3420026007807</v>
      </c>
      <c r="G14">
        <f>E14-$I$9</f>
        <v>-3076</v>
      </c>
      <c r="H14">
        <f>-$J$10/G14</f>
        <v>19.50585175552666</v>
      </c>
      <c r="I14">
        <f>$I$10*$M$8/G14^2</f>
        <v>7.7516196810957112</v>
      </c>
      <c r="J14">
        <f>SQRT(225 + H14*H14+I14*I14)</f>
        <v>25.798563145821372</v>
      </c>
      <c r="K14">
        <f>0.25-1/(L14)^2</f>
        <v>0.21</v>
      </c>
      <c r="L14">
        <v>5</v>
      </c>
      <c r="M14">
        <f>1/F14</f>
        <v>2.3039659072966807E-4</v>
      </c>
      <c r="N14">
        <f>M14/K14</f>
        <v>1.097126622522229E-3</v>
      </c>
      <c r="O14">
        <f>N14*10^8</f>
        <v>109712.6622522229</v>
      </c>
      <c r="P14">
        <f>J14*10^8/(F14^2*K14)</f>
        <v>652.12120227256764</v>
      </c>
      <c r="Q14">
        <v>2204</v>
      </c>
      <c r="R14">
        <v>5945</v>
      </c>
      <c r="S14">
        <v>3</v>
      </c>
    </row>
    <row r="15" spans="1:19" x14ac:dyDescent="0.3">
      <c r="A15" t="s">
        <v>33</v>
      </c>
      <c r="D15" t="s">
        <v>27</v>
      </c>
      <c r="E15">
        <v>1408</v>
      </c>
      <c r="F15">
        <f t="shared" ref="F15:F18" si="1">$I$8-$I$10/(E15-$I$9)</f>
        <v>4802.7945425361158</v>
      </c>
      <c r="G15">
        <f t="shared" ref="G15:G18" si="2">E15-$I$9</f>
        <v>-2492</v>
      </c>
      <c r="H15">
        <f t="shared" ref="H15:H18" si="3">-$J$10/G15</f>
        <v>24.077046548956663</v>
      </c>
      <c r="I15">
        <f t="shared" ref="I15:I18" si="4">$I$10*$M$8/G15^2</f>
        <v>11.81052064193204</v>
      </c>
      <c r="J15">
        <f t="shared" ref="J15:J18" si="5">SQRT(225 + H15*H15+I15*I15)</f>
        <v>30.727716614713316</v>
      </c>
      <c r="K15">
        <f t="shared" ref="K15" si="6">0.25-1/(L15)^2</f>
        <v>0.1875</v>
      </c>
      <c r="L15">
        <v>4</v>
      </c>
      <c r="M15">
        <f t="shared" ref="M15:M18" si="7">1/F15</f>
        <v>2.0821211299868554E-4</v>
      </c>
      <c r="N15">
        <f t="shared" ref="N15:N18" si="8">M15/K15</f>
        <v>1.1104646026596561E-3</v>
      </c>
      <c r="O15">
        <f t="shared" ref="O15:O18" si="9">N15*10^8</f>
        <v>111046.46026596561</v>
      </c>
      <c r="P15">
        <f t="shared" ref="P15:P18" si="10">J15*10^8/(F15^2*K15)</f>
        <v>710.46223857783423</v>
      </c>
      <c r="Q15">
        <v>2241</v>
      </c>
      <c r="R15">
        <v>6030</v>
      </c>
      <c r="S15">
        <v>4</v>
      </c>
    </row>
    <row r="16" spans="1:19" x14ac:dyDescent="0.3">
      <c r="D16" t="s">
        <v>28</v>
      </c>
      <c r="E16">
        <v>1849</v>
      </c>
      <c r="F16">
        <f t="shared" si="1"/>
        <v>5326.531935641151</v>
      </c>
      <c r="G16">
        <f t="shared" si="2"/>
        <v>-2051</v>
      </c>
      <c r="H16">
        <f t="shared" si="3"/>
        <v>29.254022428083861</v>
      </c>
      <c r="I16">
        <f t="shared" si="4"/>
        <v>17.435475591747128</v>
      </c>
      <c r="J16">
        <f t="shared" si="5"/>
        <v>37.212815498605366</v>
      </c>
      <c r="M16">
        <f t="shared" si="7"/>
        <v>1.8773941695697928E-4</v>
      </c>
      <c r="Q16">
        <v>2261</v>
      </c>
      <c r="R16">
        <v>6074</v>
      </c>
      <c r="S16">
        <v>5</v>
      </c>
    </row>
    <row r="17" spans="4:19" x14ac:dyDescent="0.3">
      <c r="D17" t="s">
        <v>28</v>
      </c>
      <c r="E17">
        <v>1922</v>
      </c>
      <c r="F17">
        <f t="shared" si="1"/>
        <v>5435.7563195146613</v>
      </c>
      <c r="G17">
        <f t="shared" si="2"/>
        <v>-1978</v>
      </c>
      <c r="H17">
        <f t="shared" si="3"/>
        <v>30.333670374115268</v>
      </c>
      <c r="I17">
        <f t="shared" si="4"/>
        <v>18.746169712059924</v>
      </c>
      <c r="J17">
        <f t="shared" si="5"/>
        <v>38.685274165227668</v>
      </c>
      <c r="M17">
        <f t="shared" si="7"/>
        <v>1.8396703995172587E-4</v>
      </c>
      <c r="Q17">
        <v>2292</v>
      </c>
      <c r="R17">
        <v>6143</v>
      </c>
      <c r="S17">
        <v>6</v>
      </c>
    </row>
    <row r="18" spans="4:19" x14ac:dyDescent="0.3">
      <c r="D18" t="s">
        <v>29</v>
      </c>
      <c r="E18">
        <v>2454</v>
      </c>
      <c r="F18">
        <f t="shared" si="1"/>
        <v>6564.7869986168744</v>
      </c>
      <c r="G18">
        <f t="shared" si="2"/>
        <v>-1446</v>
      </c>
      <c r="H18">
        <f t="shared" si="3"/>
        <v>41.49377593360996</v>
      </c>
      <c r="I18">
        <f t="shared" si="4"/>
        <v>35.077491902935868</v>
      </c>
      <c r="J18">
        <f t="shared" si="5"/>
        <v>56.366336402405651</v>
      </c>
      <c r="K18">
        <f>0.25-1/(L18)^2</f>
        <v>0.1388888888888889</v>
      </c>
      <c r="L18">
        <v>3</v>
      </c>
      <c r="M18">
        <f t="shared" si="7"/>
        <v>1.5232786687682153E-4</v>
      </c>
      <c r="N18">
        <f t="shared" si="8"/>
        <v>1.096760641513115E-3</v>
      </c>
      <c r="O18">
        <f t="shared" si="9"/>
        <v>109676.0641513115</v>
      </c>
      <c r="P18">
        <f t="shared" si="10"/>
        <v>941.69665040878419</v>
      </c>
      <c r="Q18">
        <v>2322</v>
      </c>
      <c r="R18">
        <v>6217</v>
      </c>
      <c r="S18">
        <v>7</v>
      </c>
    </row>
    <row r="19" spans="4:19" x14ac:dyDescent="0.3">
      <c r="O19">
        <f>(O14+O15+O18)/3</f>
        <v>110145.06222316665</v>
      </c>
      <c r="P19">
        <f>(P18+P15+P14)/3</f>
        <v>768.09336375306202</v>
      </c>
      <c r="Q19">
        <v>2342</v>
      </c>
      <c r="R19">
        <v>6267</v>
      </c>
      <c r="S19">
        <v>8</v>
      </c>
    </row>
    <row r="20" spans="4:19" x14ac:dyDescent="0.3">
      <c r="Q20">
        <v>2356</v>
      </c>
      <c r="R20">
        <v>6305</v>
      </c>
      <c r="S20">
        <v>9</v>
      </c>
    </row>
    <row r="21" spans="4:19" x14ac:dyDescent="0.3">
      <c r="Q21">
        <v>2368</v>
      </c>
      <c r="R21">
        <v>6334</v>
      </c>
      <c r="S21">
        <v>10</v>
      </c>
    </row>
    <row r="22" spans="4:19" ht="15" x14ac:dyDescent="0.35">
      <c r="M22" t="s">
        <v>48</v>
      </c>
      <c r="N22" s="1">
        <v>2.7E-2</v>
      </c>
      <c r="Q22">
        <v>2386</v>
      </c>
      <c r="R22">
        <v>6383</v>
      </c>
      <c r="S22">
        <v>11</v>
      </c>
    </row>
    <row r="23" spans="4:19" x14ac:dyDescent="0.3">
      <c r="M23" t="s">
        <v>47</v>
      </c>
      <c r="N23">
        <f>(K26-K25)/2</f>
        <v>3.6838182439595801E-2</v>
      </c>
      <c r="O23">
        <f>L25*SQRT(2)</f>
        <v>2.2892999898259943E-2</v>
      </c>
      <c r="Q23">
        <v>2431</v>
      </c>
      <c r="R23">
        <v>6507</v>
      </c>
      <c r="S23">
        <v>12</v>
      </c>
    </row>
    <row r="24" spans="4:19" x14ac:dyDescent="0.3">
      <c r="F24" t="s">
        <v>14</v>
      </c>
      <c r="K24" t="s">
        <v>46</v>
      </c>
      <c r="M24" t="s">
        <v>52</v>
      </c>
      <c r="N24">
        <v>0.94</v>
      </c>
      <c r="Q24">
        <v>2466</v>
      </c>
      <c r="R24">
        <v>6599</v>
      </c>
      <c r="S24">
        <v>13</v>
      </c>
    </row>
    <row r="25" spans="4:19" x14ac:dyDescent="0.3">
      <c r="D25" t="s">
        <v>30</v>
      </c>
      <c r="E25">
        <v>2160</v>
      </c>
      <c r="F25">
        <f>$I$8-$I$10/(E25-$I$9)</f>
        <v>5855.5057471264372</v>
      </c>
      <c r="G25">
        <f t="shared" ref="G25:G27" si="11">E25-$I$9</f>
        <v>-1740</v>
      </c>
      <c r="H25">
        <f>-$J$10/G25</f>
        <v>34.482758620689658</v>
      </c>
      <c r="I25">
        <f t="shared" ref="I25:I27" si="12">$I$10*$M$8/G25^2</f>
        <v>24.225158230849207</v>
      </c>
      <c r="J25">
        <f t="shared" ref="J25:J27" si="13">SQRT(225 + H25*H25+I25*I25)</f>
        <v>44.731632357901141</v>
      </c>
      <c r="K25">
        <f>4.136*10^(-15)*3*10^8/(F25*10^(-10))</f>
        <v>2.1190313076012552</v>
      </c>
      <c r="L25">
        <f>4.136*10^(-15)*3*10^8*J25/(F25^2*10^(-10))</f>
        <v>1.6187795469762546E-2</v>
      </c>
      <c r="M25" t="s">
        <v>49</v>
      </c>
      <c r="N25">
        <f>K25-0.5*N23+1.5*N22</f>
        <v>2.1411122163814578</v>
      </c>
      <c r="O25">
        <f>SQRT(O23*O23+L25*L25)</f>
        <v>2.8038084216162034E-2</v>
      </c>
      <c r="Q25">
        <v>2128</v>
      </c>
      <c r="R25">
        <v>5791</v>
      </c>
      <c r="S25">
        <v>14</v>
      </c>
    </row>
    <row r="26" spans="4:19" x14ac:dyDescent="0.3">
      <c r="D26" t="s">
        <v>31</v>
      </c>
      <c r="E26">
        <v>2056</v>
      </c>
      <c r="F26">
        <f>$I$8-$I$10/(E26-$I$9)</f>
        <v>5658.7570498915402</v>
      </c>
      <c r="G26">
        <f t="shared" si="11"/>
        <v>-1844</v>
      </c>
      <c r="H26">
        <f>-$J$10/G26</f>
        <v>32.537960954446852</v>
      </c>
      <c r="I26">
        <f t="shared" si="12"/>
        <v>21.569659310056139</v>
      </c>
      <c r="J26">
        <f t="shared" si="13"/>
        <v>41.820677969456682</v>
      </c>
      <c r="K26">
        <f t="shared" ref="K26:K27" si="14">4.136*10^(-15)*3*10^8/(F26*10^(-10))</f>
        <v>2.1927076724804468</v>
      </c>
      <c r="L26">
        <f t="shared" ref="L26:L27" si="15">4.136*10^(-15)*3*10^8*J26/(F26^2*10^(-10))</f>
        <v>1.6205064229382189E-2</v>
      </c>
      <c r="M26" t="s">
        <v>50</v>
      </c>
      <c r="N26">
        <f>K27-N24</f>
        <v>1.4674689679391046</v>
      </c>
      <c r="O26">
        <f>L27</f>
        <v>1.6335243755363445E-2</v>
      </c>
      <c r="Q26">
        <v>1936</v>
      </c>
      <c r="R26">
        <v>5461</v>
      </c>
      <c r="S26">
        <v>15</v>
      </c>
    </row>
    <row r="27" spans="4:19" x14ac:dyDescent="0.3">
      <c r="D27" t="s">
        <v>32</v>
      </c>
      <c r="E27">
        <v>1722</v>
      </c>
      <c r="F27">
        <f>$I$8-$I$10/(E27-$I$9)</f>
        <v>5153.9605142332421</v>
      </c>
      <c r="G27">
        <f t="shared" si="11"/>
        <v>-2178</v>
      </c>
      <c r="H27">
        <f>-$J$10/G27</f>
        <v>27.548209366391184</v>
      </c>
      <c r="I27">
        <f t="shared" si="12"/>
        <v>15.461419660272281</v>
      </c>
      <c r="J27">
        <f t="shared" si="13"/>
        <v>34.97083552341261</v>
      </c>
      <c r="K27">
        <f t="shared" si="14"/>
        <v>2.4074689679391046</v>
      </c>
      <c r="L27">
        <f t="shared" si="15"/>
        <v>1.6335243755363445E-2</v>
      </c>
      <c r="M27" t="s">
        <v>51</v>
      </c>
      <c r="N27">
        <f>K27-N25</f>
        <v>0.26635675155764682</v>
      </c>
      <c r="O27">
        <f>SQRT(L27*L27+O25*O25)</f>
        <v>3.2449566330842311E-2</v>
      </c>
      <c r="Q27">
        <v>1515</v>
      </c>
      <c r="R27">
        <v>4916</v>
      </c>
      <c r="S27">
        <v>16</v>
      </c>
    </row>
    <row r="28" spans="4:19" x14ac:dyDescent="0.3">
      <c r="Q28">
        <v>838</v>
      </c>
      <c r="R28">
        <v>4358</v>
      </c>
      <c r="S28">
        <v>17</v>
      </c>
    </row>
    <row r="29" spans="4:19" x14ac:dyDescent="0.3">
      <c r="Q29">
        <v>296</v>
      </c>
      <c r="R29">
        <v>4047</v>
      </c>
      <c r="S29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2020-09-18T11:19:02Z</dcterms:modified>
</cp:coreProperties>
</file>