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EFFF22C6-218F-47AC-86A6-7AC31D9BF33C}" xr6:coauthVersionLast="47" xr6:coauthVersionMax="47" xr10:uidLastSave="{00000000-0000-0000-0000-000000000000}"/>
  <bookViews>
    <workbookView xWindow="28680" yWindow="-120" windowWidth="29040" windowHeight="16440" tabRatio="832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state="hidden" r:id="rId22"/>
    <sheet name="PromotedPlayersByTeam" sheetId="6" state="hidden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5" i="7"/>
  <c r="C6" i="7"/>
  <c r="C7" i="7"/>
  <c r="C4" i="7"/>
  <c r="C2" i="7"/>
  <c r="C20" i="25"/>
  <c r="D20" i="25"/>
  <c r="C2" i="25"/>
  <c r="C3" i="25"/>
  <c r="P3" i="25" s="1"/>
  <c r="C4" i="25"/>
  <c r="C5" i="25"/>
  <c r="C6" i="25"/>
  <c r="C7" i="25"/>
  <c r="P7" i="25" s="1"/>
  <c r="C8" i="25"/>
  <c r="C9" i="25"/>
  <c r="C10" i="25"/>
  <c r="C11" i="25"/>
  <c r="P11" i="25" s="1"/>
  <c r="C12" i="25"/>
  <c r="C13" i="25"/>
  <c r="C14" i="25"/>
  <c r="C15" i="25"/>
  <c r="P15" i="25" s="1"/>
  <c r="C16" i="25"/>
  <c r="C17" i="25"/>
  <c r="C18" i="25"/>
  <c r="C19" i="25"/>
  <c r="P19" i="25" s="1"/>
  <c r="C21" i="25"/>
  <c r="D2" i="25"/>
  <c r="D3" i="25"/>
  <c r="D4" i="25"/>
  <c r="P4" i="25" s="1"/>
  <c r="D5" i="25"/>
  <c r="D6" i="25"/>
  <c r="D7" i="25"/>
  <c r="D8" i="25"/>
  <c r="P8" i="25" s="1"/>
  <c r="D9" i="25"/>
  <c r="D10" i="25"/>
  <c r="D11" i="25"/>
  <c r="D12" i="25"/>
  <c r="P12" i="25" s="1"/>
  <c r="D13" i="25"/>
  <c r="D14" i="25"/>
  <c r="D15" i="25"/>
  <c r="D16" i="25"/>
  <c r="P16" i="25" s="1"/>
  <c r="D17" i="25"/>
  <c r="D18" i="25"/>
  <c r="D19" i="25"/>
  <c r="D21" i="25"/>
  <c r="P21" i="25" s="1"/>
  <c r="P2" i="25"/>
  <c r="P5" i="25"/>
  <c r="P6" i="25"/>
  <c r="P9" i="25"/>
  <c r="P10" i="25"/>
  <c r="P13" i="25"/>
  <c r="P14" i="25"/>
  <c r="P17" i="25"/>
  <c r="P18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7" i="27"/>
  <c r="C17" i="27"/>
  <c r="D16" i="27"/>
  <c r="C16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D8" i="27"/>
  <c r="C8" i="27"/>
  <c r="D7" i="27"/>
  <c r="C7" i="27"/>
  <c r="D6" i="27"/>
  <c r="C6" i="27"/>
  <c r="D5" i="27"/>
  <c r="C5" i="27"/>
  <c r="D4" i="27"/>
  <c r="C4" i="27"/>
  <c r="D3" i="27"/>
  <c r="C3" i="27"/>
  <c r="D2" i="27"/>
  <c r="C2" i="27"/>
  <c r="D16" i="26"/>
  <c r="C16" i="26"/>
  <c r="P16" i="26" s="1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P2" i="26" s="1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20" i="23"/>
  <c r="C20" i="23"/>
  <c r="P20" i="23" s="1"/>
  <c r="D19" i="23"/>
  <c r="C19" i="23"/>
  <c r="D18" i="23"/>
  <c r="C18" i="23"/>
  <c r="D17" i="23"/>
  <c r="C17" i="23"/>
  <c r="D16" i="23"/>
  <c r="C16" i="23"/>
  <c r="P16" i="23" s="1"/>
  <c r="D15" i="23"/>
  <c r="C15" i="23"/>
  <c r="P15" i="23" s="1"/>
  <c r="D14" i="23"/>
  <c r="C14" i="23"/>
  <c r="D13" i="23"/>
  <c r="C13" i="23"/>
  <c r="P13" i="23" s="1"/>
  <c r="D12" i="23"/>
  <c r="C12" i="23"/>
  <c r="D11" i="23"/>
  <c r="C11" i="23"/>
  <c r="P11" i="23" s="1"/>
  <c r="D10" i="23"/>
  <c r="C10" i="23"/>
  <c r="D9" i="23"/>
  <c r="C9" i="23"/>
  <c r="P9" i="23" s="1"/>
  <c r="D8" i="23"/>
  <c r="C8" i="23"/>
  <c r="D7" i="23"/>
  <c r="C7" i="23"/>
  <c r="P7" i="23" s="1"/>
  <c r="D6" i="23"/>
  <c r="C6" i="23"/>
  <c r="P6" i="23" s="1"/>
  <c r="G5" i="23"/>
  <c r="D5" i="23"/>
  <c r="C5" i="23"/>
  <c r="D4" i="23"/>
  <c r="C4" i="23"/>
  <c r="G3" i="23"/>
  <c r="D3" i="23"/>
  <c r="C3" i="23"/>
  <c r="P3" i="23" s="1"/>
  <c r="D2" i="23"/>
  <c r="C2" i="23"/>
  <c r="P2" i="23" s="1"/>
  <c r="D17" i="22"/>
  <c r="C17" i="22"/>
  <c r="P17" i="22" s="1"/>
  <c r="D16" i="22"/>
  <c r="C16" i="22"/>
  <c r="D15" i="22"/>
  <c r="C15" i="22"/>
  <c r="P15" i="22" s="1"/>
  <c r="D14" i="22"/>
  <c r="C14" i="22"/>
  <c r="D13" i="22"/>
  <c r="C13" i="22"/>
  <c r="P13" i="22" s="1"/>
  <c r="D12" i="22"/>
  <c r="C12" i="22"/>
  <c r="P12" i="22" s="1"/>
  <c r="D11" i="22"/>
  <c r="C11" i="22"/>
  <c r="D10" i="22"/>
  <c r="C10" i="22"/>
  <c r="D9" i="22"/>
  <c r="C9" i="22"/>
  <c r="D8" i="22"/>
  <c r="C8" i="22"/>
  <c r="D7" i="22"/>
  <c r="C7" i="22"/>
  <c r="D6" i="22"/>
  <c r="C6" i="22"/>
  <c r="P6" i="22" s="1"/>
  <c r="D5" i="22"/>
  <c r="C5" i="22"/>
  <c r="D4" i="22"/>
  <c r="C4" i="22"/>
  <c r="P4" i="22" s="1"/>
  <c r="D3" i="22"/>
  <c r="C3" i="22"/>
  <c r="D2" i="22"/>
  <c r="C2" i="22"/>
  <c r="P2" i="22" s="1"/>
  <c r="D18" i="21"/>
  <c r="C18" i="21"/>
  <c r="P18" i="21" s="1"/>
  <c r="D17" i="21"/>
  <c r="C17" i="21"/>
  <c r="D16" i="21"/>
  <c r="C16" i="21"/>
  <c r="D15" i="21"/>
  <c r="C15" i="21"/>
  <c r="D14" i="21"/>
  <c r="C14" i="21"/>
  <c r="P14" i="21" s="1"/>
  <c r="D13" i="21"/>
  <c r="C13" i="21"/>
  <c r="P13" i="21" s="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P2" i="21" s="1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G11" i="20"/>
  <c r="C11" i="20" s="1"/>
  <c r="D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D2" i="20"/>
  <c r="C2" i="20"/>
  <c r="D19" i="19"/>
  <c r="C19" i="19"/>
  <c r="P19" i="19" s="1"/>
  <c r="D18" i="19"/>
  <c r="C18" i="19"/>
  <c r="P18" i="19" s="1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E20" i="18"/>
  <c r="D20" i="18"/>
  <c r="C20" i="18" s="1"/>
  <c r="L20" i="18" s="1"/>
  <c r="E19" i="18"/>
  <c r="D19" i="18"/>
  <c r="C19" i="18" s="1"/>
  <c r="L19" i="18" s="1"/>
  <c r="E18" i="18"/>
  <c r="D18" i="18"/>
  <c r="C18" i="18" s="1"/>
  <c r="L18" i="18" s="1"/>
  <c r="E17" i="18"/>
  <c r="D17" i="18"/>
  <c r="C17" i="18" s="1"/>
  <c r="L17" i="18" s="1"/>
  <c r="E16" i="18"/>
  <c r="D16" i="18"/>
  <c r="C16" i="18" s="1"/>
  <c r="L16" i="18" s="1"/>
  <c r="E15" i="18"/>
  <c r="D15" i="18"/>
  <c r="C15" i="18" s="1"/>
  <c r="L15" i="18" s="1"/>
  <c r="E14" i="18"/>
  <c r="D14" i="18"/>
  <c r="C14" i="18" s="1"/>
  <c r="L14" i="18" s="1"/>
  <c r="E13" i="18"/>
  <c r="D13" i="18"/>
  <c r="C13" i="18" s="1"/>
  <c r="L13" i="18" s="1"/>
  <c r="E12" i="18"/>
  <c r="D12" i="18"/>
  <c r="C12" i="18" s="1"/>
  <c r="L12" i="18" s="1"/>
  <c r="E11" i="18"/>
  <c r="D11" i="18"/>
  <c r="C11" i="18" s="1"/>
  <c r="L11" i="18" s="1"/>
  <c r="E10" i="18"/>
  <c r="D10" i="18"/>
  <c r="C10" i="18" s="1"/>
  <c r="L10" i="18" s="1"/>
  <c r="E9" i="18"/>
  <c r="D9" i="18"/>
  <c r="C9" i="18" s="1"/>
  <c r="L9" i="18" s="1"/>
  <c r="E8" i="18"/>
  <c r="D8" i="18"/>
  <c r="C8" i="18" s="1"/>
  <c r="L8" i="18" s="1"/>
  <c r="E7" i="18"/>
  <c r="D7" i="18"/>
  <c r="C7" i="18" s="1"/>
  <c r="L7" i="18" s="1"/>
  <c r="E6" i="18"/>
  <c r="D6" i="18"/>
  <c r="C6" i="18" s="1"/>
  <c r="L6" i="18" s="1"/>
  <c r="E5" i="18"/>
  <c r="D5" i="18"/>
  <c r="C5" i="18" s="1"/>
  <c r="L5" i="18" s="1"/>
  <c r="E4" i="18"/>
  <c r="D4" i="18"/>
  <c r="C4" i="18"/>
  <c r="L4" i="18" s="1"/>
  <c r="E3" i="18"/>
  <c r="D3" i="18"/>
  <c r="C3" i="18" s="1"/>
  <c r="L3" i="18" s="1"/>
  <c r="E2" i="18"/>
  <c r="D2" i="18"/>
  <c r="C2" i="18" s="1"/>
  <c r="L2" i="18" s="1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E20" i="16"/>
  <c r="D20" i="16"/>
  <c r="C20" i="16" s="1"/>
  <c r="L20" i="16" s="1"/>
  <c r="E19" i="16"/>
  <c r="D19" i="16"/>
  <c r="C19" i="16" s="1"/>
  <c r="L19" i="16" s="1"/>
  <c r="E18" i="16"/>
  <c r="D18" i="16"/>
  <c r="C18" i="16" s="1"/>
  <c r="L18" i="16" s="1"/>
  <c r="E17" i="16"/>
  <c r="D17" i="16"/>
  <c r="C17" i="16" s="1"/>
  <c r="L17" i="16" s="1"/>
  <c r="E16" i="16"/>
  <c r="D16" i="16"/>
  <c r="C16" i="16" s="1"/>
  <c r="L16" i="16" s="1"/>
  <c r="E15" i="16"/>
  <c r="D15" i="16"/>
  <c r="C15" i="16" s="1"/>
  <c r="L15" i="16" s="1"/>
  <c r="E14" i="16"/>
  <c r="D14" i="16"/>
  <c r="C14" i="16" s="1"/>
  <c r="L14" i="16" s="1"/>
  <c r="E13" i="16"/>
  <c r="D13" i="16"/>
  <c r="C13" i="16" s="1"/>
  <c r="L13" i="16" s="1"/>
  <c r="E12" i="16"/>
  <c r="D12" i="16"/>
  <c r="C12" i="16" s="1"/>
  <c r="L12" i="16" s="1"/>
  <c r="E11" i="16"/>
  <c r="D11" i="16"/>
  <c r="C11" i="16" s="1"/>
  <c r="L11" i="16" s="1"/>
  <c r="E10" i="16"/>
  <c r="D10" i="16"/>
  <c r="C10" i="16" s="1"/>
  <c r="L10" i="16" s="1"/>
  <c r="E9" i="16"/>
  <c r="D9" i="16"/>
  <c r="C9" i="16" s="1"/>
  <c r="L9" i="16" s="1"/>
  <c r="E8" i="16"/>
  <c r="D8" i="16"/>
  <c r="C8" i="16" s="1"/>
  <c r="L8" i="16" s="1"/>
  <c r="E7" i="16"/>
  <c r="D7" i="16"/>
  <c r="C7" i="16" s="1"/>
  <c r="L7" i="16" s="1"/>
  <c r="E6" i="16"/>
  <c r="D6" i="16"/>
  <c r="C6" i="16" s="1"/>
  <c r="L6" i="16" s="1"/>
  <c r="E5" i="16"/>
  <c r="D5" i="16"/>
  <c r="C5" i="16" s="1"/>
  <c r="L5" i="16" s="1"/>
  <c r="E4" i="16"/>
  <c r="D4" i="16"/>
  <c r="C4" i="16" s="1"/>
  <c r="L4" i="16" s="1"/>
  <c r="E3" i="16"/>
  <c r="D3" i="16"/>
  <c r="C3" i="16" s="1"/>
  <c r="L3" i="16" s="1"/>
  <c r="E2" i="16"/>
  <c r="D2" i="16"/>
  <c r="C2" i="16" s="1"/>
  <c r="L2" i="16" s="1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17" i="14"/>
  <c r="C17" i="14"/>
  <c r="D16" i="14"/>
  <c r="C16" i="14"/>
  <c r="D15" i="14"/>
  <c r="C15" i="14"/>
  <c r="D14" i="14"/>
  <c r="C14" i="14"/>
  <c r="D13" i="14"/>
  <c r="C13" i="14"/>
  <c r="D12" i="14"/>
  <c r="P12" i="14" s="1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20" i="13"/>
  <c r="C20" i="13"/>
  <c r="D19" i="13"/>
  <c r="C19" i="13"/>
  <c r="D18" i="13"/>
  <c r="C18" i="13"/>
  <c r="D17" i="13"/>
  <c r="C17" i="13"/>
  <c r="G16" i="13"/>
  <c r="D16" i="13"/>
  <c r="C16" i="13"/>
  <c r="D15" i="13"/>
  <c r="C15" i="13"/>
  <c r="G14" i="13"/>
  <c r="D14" i="13"/>
  <c r="C14" i="13"/>
  <c r="D13" i="13"/>
  <c r="C13" i="13"/>
  <c r="G12" i="13"/>
  <c r="C12" i="13" s="1"/>
  <c r="D12" i="13"/>
  <c r="D11" i="13"/>
  <c r="C11" i="13"/>
  <c r="D10" i="13"/>
  <c r="C10" i="13"/>
  <c r="D9" i="13"/>
  <c r="C9" i="13"/>
  <c r="G8" i="13"/>
  <c r="D8" i="13"/>
  <c r="C8" i="13"/>
  <c r="G7" i="13"/>
  <c r="D7" i="13"/>
  <c r="C7" i="13"/>
  <c r="G6" i="13"/>
  <c r="D6" i="13"/>
  <c r="C6" i="13"/>
  <c r="G5" i="13"/>
  <c r="D5" i="13"/>
  <c r="C5" i="13"/>
  <c r="G4" i="13"/>
  <c r="D4" i="13"/>
  <c r="C4" i="13"/>
  <c r="G3" i="13"/>
  <c r="D3" i="13"/>
  <c r="C3" i="13"/>
  <c r="G2" i="13"/>
  <c r="D2" i="13"/>
  <c r="C2" i="13"/>
  <c r="E20" i="12"/>
  <c r="D20" i="12"/>
  <c r="C20" i="12" s="1"/>
  <c r="L20" i="12" s="1"/>
  <c r="E19" i="12"/>
  <c r="D19" i="12"/>
  <c r="C19" i="12" s="1"/>
  <c r="L19" i="12" s="1"/>
  <c r="E18" i="12"/>
  <c r="D18" i="12"/>
  <c r="C18" i="12" s="1"/>
  <c r="L18" i="12" s="1"/>
  <c r="E17" i="12"/>
  <c r="D17" i="12"/>
  <c r="C17" i="12" s="1"/>
  <c r="L17" i="12" s="1"/>
  <c r="E16" i="12"/>
  <c r="D16" i="12"/>
  <c r="C16" i="12" s="1"/>
  <c r="L16" i="12" s="1"/>
  <c r="E15" i="12"/>
  <c r="D15" i="12"/>
  <c r="C15" i="12" s="1"/>
  <c r="L15" i="12" s="1"/>
  <c r="E14" i="12"/>
  <c r="D14" i="12"/>
  <c r="C14" i="12" s="1"/>
  <c r="L14" i="12" s="1"/>
  <c r="E13" i="12"/>
  <c r="D13" i="12"/>
  <c r="C13" i="12" s="1"/>
  <c r="L13" i="12" s="1"/>
  <c r="E12" i="12"/>
  <c r="D12" i="12"/>
  <c r="C12" i="12" s="1"/>
  <c r="L12" i="12" s="1"/>
  <c r="E11" i="12"/>
  <c r="D11" i="12"/>
  <c r="C11" i="12" s="1"/>
  <c r="L11" i="12" s="1"/>
  <c r="E10" i="12"/>
  <c r="D10" i="12"/>
  <c r="C10" i="12" s="1"/>
  <c r="L10" i="12" s="1"/>
  <c r="E9" i="12"/>
  <c r="D9" i="12"/>
  <c r="C9" i="12" s="1"/>
  <c r="L9" i="12" s="1"/>
  <c r="E8" i="12"/>
  <c r="D8" i="12"/>
  <c r="C8" i="12" s="1"/>
  <c r="L8" i="12" s="1"/>
  <c r="E7" i="12"/>
  <c r="D7" i="12"/>
  <c r="C7" i="12" s="1"/>
  <c r="L7" i="12" s="1"/>
  <c r="E6" i="12"/>
  <c r="D6" i="12"/>
  <c r="C6" i="12" s="1"/>
  <c r="L6" i="12" s="1"/>
  <c r="E5" i="12"/>
  <c r="D5" i="12"/>
  <c r="C5" i="12" s="1"/>
  <c r="L5" i="12" s="1"/>
  <c r="E4" i="12"/>
  <c r="D4" i="12"/>
  <c r="C4" i="12" s="1"/>
  <c r="L4" i="12" s="1"/>
  <c r="E3" i="12"/>
  <c r="D3" i="12"/>
  <c r="C3" i="12" s="1"/>
  <c r="L3" i="12" s="1"/>
  <c r="E2" i="12"/>
  <c r="D2" i="12"/>
  <c r="C2" i="12" s="1"/>
  <c r="L2" i="12" s="1"/>
  <c r="G17" i="11"/>
  <c r="D17" i="11"/>
  <c r="C17" i="11"/>
  <c r="G16" i="11"/>
  <c r="D16" i="11"/>
  <c r="C16" i="11"/>
  <c r="G15" i="11"/>
  <c r="D15" i="11"/>
  <c r="C15" i="11"/>
  <c r="G14" i="11"/>
  <c r="D14" i="11"/>
  <c r="C14" i="11"/>
  <c r="G13" i="11"/>
  <c r="D13" i="11"/>
  <c r="C13" i="11"/>
  <c r="G12" i="11"/>
  <c r="D12" i="11"/>
  <c r="C12" i="11"/>
  <c r="G11" i="11"/>
  <c r="D11" i="11"/>
  <c r="C11" i="11"/>
  <c r="G10" i="11"/>
  <c r="D10" i="11"/>
  <c r="C10" i="11"/>
  <c r="G9" i="11"/>
  <c r="D9" i="11"/>
  <c r="C9" i="11"/>
  <c r="G8" i="11"/>
  <c r="D8" i="11"/>
  <c r="C8" i="11"/>
  <c r="G7" i="11"/>
  <c r="D7" i="11"/>
  <c r="C7" i="11"/>
  <c r="G6" i="11"/>
  <c r="D6" i="11"/>
  <c r="C6" i="11"/>
  <c r="G5" i="11"/>
  <c r="D5" i="11"/>
  <c r="C5" i="11"/>
  <c r="G4" i="11"/>
  <c r="D4" i="11"/>
  <c r="C4" i="11"/>
  <c r="G3" i="11"/>
  <c r="D3" i="11"/>
  <c r="C3" i="11"/>
  <c r="G2" i="11"/>
  <c r="D2" i="11"/>
  <c r="C2" i="11"/>
  <c r="G17" i="10"/>
  <c r="D17" i="10"/>
  <c r="C17" i="10"/>
  <c r="G16" i="10"/>
  <c r="D16" i="10"/>
  <c r="C16" i="10"/>
  <c r="G15" i="10"/>
  <c r="C15" i="10" s="1"/>
  <c r="D15" i="10"/>
  <c r="G14" i="10"/>
  <c r="D14" i="10"/>
  <c r="C14" i="10"/>
  <c r="G13" i="10"/>
  <c r="D13" i="10"/>
  <c r="C13" i="10"/>
  <c r="G12" i="10"/>
  <c r="C12" i="10" s="1"/>
  <c r="D12" i="10"/>
  <c r="G11" i="10"/>
  <c r="C11" i="10" s="1"/>
  <c r="D11" i="10"/>
  <c r="G10" i="10"/>
  <c r="D10" i="10"/>
  <c r="C10" i="10"/>
  <c r="G9" i="10"/>
  <c r="D9" i="10"/>
  <c r="C9" i="10"/>
  <c r="G8" i="10"/>
  <c r="C8" i="10" s="1"/>
  <c r="D8" i="10"/>
  <c r="G7" i="10"/>
  <c r="C7" i="10" s="1"/>
  <c r="D7" i="10"/>
  <c r="G6" i="10"/>
  <c r="D6" i="10"/>
  <c r="C6" i="10"/>
  <c r="G5" i="10"/>
  <c r="D5" i="10"/>
  <c r="C5" i="10"/>
  <c r="G4" i="10"/>
  <c r="C4" i="10" s="1"/>
  <c r="D4" i="10"/>
  <c r="G3" i="10"/>
  <c r="D3" i="10"/>
  <c r="C3" i="10"/>
  <c r="G2" i="10"/>
  <c r="D2" i="10"/>
  <c r="C2" i="10"/>
  <c r="G20" i="9"/>
  <c r="D20" i="9"/>
  <c r="C20" i="9"/>
  <c r="G19" i="9"/>
  <c r="D19" i="9"/>
  <c r="C19" i="9"/>
  <c r="G18" i="9"/>
  <c r="D18" i="9"/>
  <c r="C18" i="9"/>
  <c r="G17" i="9"/>
  <c r="D17" i="9"/>
  <c r="C17" i="9"/>
  <c r="G16" i="9"/>
  <c r="D16" i="9"/>
  <c r="C16" i="9"/>
  <c r="G15" i="9"/>
  <c r="D15" i="9"/>
  <c r="C15" i="9"/>
  <c r="G14" i="9"/>
  <c r="D14" i="9"/>
  <c r="C14" i="9"/>
  <c r="G13" i="9"/>
  <c r="D13" i="9"/>
  <c r="C13" i="9"/>
  <c r="G12" i="9"/>
  <c r="D12" i="9"/>
  <c r="C12" i="9"/>
  <c r="G11" i="9"/>
  <c r="D11" i="9"/>
  <c r="C11" i="9"/>
  <c r="G10" i="9"/>
  <c r="D10" i="9"/>
  <c r="C10" i="9"/>
  <c r="G9" i="9"/>
  <c r="D9" i="9"/>
  <c r="C9" i="9"/>
  <c r="G8" i="9"/>
  <c r="D8" i="9"/>
  <c r="C8" i="9"/>
  <c r="G7" i="9"/>
  <c r="D7" i="9"/>
  <c r="C7" i="9"/>
  <c r="G6" i="9"/>
  <c r="D6" i="9"/>
  <c r="C6" i="9"/>
  <c r="G5" i="9"/>
  <c r="D5" i="9"/>
  <c r="C5" i="9"/>
  <c r="G4" i="9"/>
  <c r="D4" i="9"/>
  <c r="C4" i="9"/>
  <c r="G3" i="9"/>
  <c r="D3" i="9"/>
  <c r="C3" i="9"/>
  <c r="G2" i="9"/>
  <c r="D2" i="9"/>
  <c r="C2" i="9"/>
  <c r="G19" i="8"/>
  <c r="D19" i="8"/>
  <c r="C19" i="8"/>
  <c r="G18" i="8"/>
  <c r="D18" i="8"/>
  <c r="C18" i="8"/>
  <c r="G17" i="8"/>
  <c r="D17" i="8"/>
  <c r="C17" i="8"/>
  <c r="G16" i="8"/>
  <c r="D16" i="8"/>
  <c r="C16" i="8"/>
  <c r="G15" i="8"/>
  <c r="D15" i="8"/>
  <c r="C15" i="8"/>
  <c r="G14" i="8"/>
  <c r="D14" i="8"/>
  <c r="C14" i="8"/>
  <c r="G13" i="8"/>
  <c r="D13" i="8"/>
  <c r="C13" i="8"/>
  <c r="G12" i="8"/>
  <c r="D12" i="8"/>
  <c r="C12" i="8"/>
  <c r="G11" i="8"/>
  <c r="D11" i="8"/>
  <c r="C11" i="8"/>
  <c r="G10" i="8"/>
  <c r="D10" i="8"/>
  <c r="C10" i="8"/>
  <c r="G9" i="8"/>
  <c r="D9" i="8"/>
  <c r="C9" i="8"/>
  <c r="G8" i="8"/>
  <c r="D8" i="8"/>
  <c r="C8" i="8"/>
  <c r="G7" i="8"/>
  <c r="D7" i="8"/>
  <c r="C7" i="8"/>
  <c r="G6" i="8"/>
  <c r="D6" i="8"/>
  <c r="C6" i="8"/>
  <c r="G5" i="8"/>
  <c r="D5" i="8"/>
  <c r="C5" i="8"/>
  <c r="G4" i="8"/>
  <c r="D4" i="8"/>
  <c r="C4" i="8"/>
  <c r="G3" i="8"/>
  <c r="D3" i="8"/>
  <c r="C3" i="8"/>
  <c r="G2" i="8"/>
  <c r="D2" i="8"/>
  <c r="C2" i="8"/>
  <c r="E7" i="7"/>
  <c r="D7" i="7"/>
  <c r="E6" i="7"/>
  <c r="D6" i="7"/>
  <c r="E5" i="7"/>
  <c r="D5" i="7"/>
  <c r="E4" i="7"/>
  <c r="D4" i="7"/>
  <c r="E3" i="7"/>
  <c r="D3" i="7"/>
  <c r="E2" i="7"/>
  <c r="D2" i="7"/>
  <c r="L2" i="7" s="1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L4" i="7" l="1"/>
  <c r="P6" i="27"/>
  <c r="P8" i="27"/>
  <c r="P3" i="27"/>
  <c r="P5" i="27"/>
  <c r="P9" i="27"/>
  <c r="P5" i="26"/>
  <c r="P7" i="26"/>
  <c r="P9" i="26"/>
  <c r="P11" i="26"/>
  <c r="P15" i="26"/>
  <c r="P5" i="20"/>
  <c r="P15" i="20"/>
  <c r="P17" i="20"/>
  <c r="P19" i="20"/>
  <c r="P21" i="20"/>
  <c r="P5" i="24"/>
  <c r="P11" i="24"/>
  <c r="P20" i="25"/>
  <c r="P2" i="24"/>
  <c r="P6" i="24"/>
  <c r="P2" i="8"/>
  <c r="P6" i="8"/>
  <c r="P10" i="8"/>
  <c r="P14" i="8"/>
  <c r="P18" i="8"/>
  <c r="P4" i="9"/>
  <c r="P8" i="9"/>
  <c r="P12" i="9"/>
  <c r="P16" i="9"/>
  <c r="P20" i="9"/>
  <c r="P5" i="10"/>
  <c r="P9" i="10"/>
  <c r="P13" i="10"/>
  <c r="P17" i="10"/>
  <c r="P5" i="11"/>
  <c r="P9" i="11"/>
  <c r="P13" i="11"/>
  <c r="P17" i="11"/>
  <c r="P5" i="17"/>
  <c r="P3" i="19"/>
  <c r="P4" i="8"/>
  <c r="P8" i="8"/>
  <c r="P12" i="8"/>
  <c r="P16" i="8"/>
  <c r="P2" i="9"/>
  <c r="P6" i="9"/>
  <c r="P10" i="9"/>
  <c r="P14" i="9"/>
  <c r="P18" i="9"/>
  <c r="P3" i="10"/>
  <c r="P7" i="10"/>
  <c r="P11" i="10"/>
  <c r="P15" i="10"/>
  <c r="P3" i="11"/>
  <c r="P7" i="11"/>
  <c r="P11" i="11"/>
  <c r="P15" i="11"/>
  <c r="L21" i="6"/>
  <c r="L17" i="6"/>
  <c r="L13" i="6"/>
  <c r="L9" i="6"/>
  <c r="L5" i="6"/>
  <c r="P5" i="13"/>
  <c r="P9" i="13"/>
  <c r="P13" i="13"/>
  <c r="P18" i="13"/>
  <c r="P13" i="14"/>
  <c r="P15" i="14"/>
  <c r="P7" i="15"/>
  <c r="P9" i="15"/>
  <c r="P11" i="15"/>
  <c r="P13" i="15"/>
  <c r="P15" i="15"/>
  <c r="P17" i="15"/>
  <c r="P6" i="17"/>
  <c r="P10" i="17"/>
  <c r="P18" i="17"/>
  <c r="P4" i="19"/>
  <c r="P6" i="19"/>
  <c r="P7" i="22"/>
  <c r="P10" i="23"/>
  <c r="P11" i="27"/>
  <c r="P13" i="27"/>
  <c r="P3" i="13"/>
  <c r="P7" i="13"/>
  <c r="P10" i="13"/>
  <c r="P17" i="13"/>
  <c r="P19" i="13"/>
  <c r="P6" i="14"/>
  <c r="P8" i="14"/>
  <c r="P2" i="15"/>
  <c r="P6" i="15"/>
  <c r="P14" i="15"/>
  <c r="P11" i="17"/>
  <c r="P13" i="17"/>
  <c r="P15" i="17"/>
  <c r="P17" i="17"/>
  <c r="P11" i="19"/>
  <c r="P15" i="19"/>
  <c r="P4" i="20"/>
  <c r="P20" i="20"/>
  <c r="P15" i="24"/>
  <c r="P2" i="19"/>
  <c r="P10" i="21"/>
  <c r="P17" i="21"/>
  <c r="P14" i="24"/>
  <c r="P16" i="24"/>
  <c r="P14" i="27"/>
  <c r="P16" i="27"/>
  <c r="P14" i="13"/>
  <c r="P5" i="15"/>
  <c r="P3" i="17"/>
  <c r="P16" i="17"/>
  <c r="P10" i="19"/>
  <c r="P12" i="19"/>
  <c r="P14" i="19"/>
  <c r="P16" i="19"/>
  <c r="P11" i="20"/>
  <c r="P13" i="20"/>
  <c r="P8" i="21"/>
  <c r="P9" i="22"/>
  <c r="P11" i="22"/>
  <c r="P16" i="22"/>
  <c r="P4" i="23"/>
  <c r="P9" i="24"/>
  <c r="P7" i="19"/>
  <c r="P9" i="19"/>
  <c r="P6" i="20"/>
  <c r="P8" i="20"/>
  <c r="P10" i="20"/>
  <c r="P14" i="20"/>
  <c r="P22" i="20"/>
  <c r="P3" i="21"/>
  <c r="P5" i="21"/>
  <c r="P7" i="21"/>
  <c r="P9" i="21"/>
  <c r="P11" i="21"/>
  <c r="P12" i="23"/>
  <c r="P19" i="23"/>
  <c r="P10" i="24"/>
  <c r="P17" i="24"/>
  <c r="P3" i="26"/>
  <c r="P15" i="27"/>
  <c r="P17" i="27"/>
  <c r="P3" i="14"/>
  <c r="P7" i="14"/>
  <c r="P9" i="14"/>
  <c r="P11" i="14"/>
  <c r="P12" i="15"/>
  <c r="P18" i="15"/>
  <c r="P2" i="17"/>
  <c r="P9" i="17"/>
  <c r="P8" i="22"/>
  <c r="P10" i="22"/>
  <c r="P3" i="24"/>
  <c r="P12" i="26"/>
  <c r="P14" i="26"/>
  <c r="P4" i="27"/>
  <c r="P12" i="27"/>
  <c r="P5" i="8"/>
  <c r="P9" i="8"/>
  <c r="P13" i="8"/>
  <c r="P17" i="8"/>
  <c r="P3" i="9"/>
  <c r="P7" i="9"/>
  <c r="P11" i="9"/>
  <c r="P15" i="9"/>
  <c r="P19" i="9"/>
  <c r="P4" i="10"/>
  <c r="P8" i="10"/>
  <c r="P12" i="10"/>
  <c r="P16" i="10"/>
  <c r="P4" i="11"/>
  <c r="P8" i="11"/>
  <c r="P12" i="11"/>
  <c r="P16" i="11"/>
  <c r="P4" i="13"/>
  <c r="P8" i="13"/>
  <c r="P11" i="13"/>
  <c r="P16" i="13"/>
  <c r="P2" i="14"/>
  <c r="P4" i="14"/>
  <c r="P16" i="15"/>
  <c r="P3" i="8"/>
  <c r="P7" i="8"/>
  <c r="P11" i="8"/>
  <c r="P15" i="8"/>
  <c r="P19" i="8"/>
  <c r="P2" i="13"/>
  <c r="P6" i="13"/>
  <c r="P5" i="14"/>
  <c r="P14" i="14"/>
  <c r="P16" i="14"/>
  <c r="P5" i="9"/>
  <c r="P9" i="9"/>
  <c r="P13" i="9"/>
  <c r="P17" i="9"/>
  <c r="P2" i="10"/>
  <c r="P6" i="10"/>
  <c r="P10" i="10"/>
  <c r="P14" i="10"/>
  <c r="P2" i="11"/>
  <c r="P6" i="11"/>
  <c r="P10" i="11"/>
  <c r="P14" i="11"/>
  <c r="P12" i="13"/>
  <c r="P15" i="13"/>
  <c r="P20" i="13"/>
  <c r="P10" i="14"/>
  <c r="P17" i="14"/>
  <c r="P3" i="15"/>
  <c r="P8" i="15"/>
  <c r="P10" i="15"/>
  <c r="P7" i="17"/>
  <c r="P12" i="17"/>
  <c r="P14" i="17"/>
  <c r="P5" i="19"/>
  <c r="P8" i="19"/>
  <c r="P13" i="19"/>
  <c r="P2" i="20"/>
  <c r="P7" i="20"/>
  <c r="P9" i="20"/>
  <c r="P16" i="20"/>
  <c r="P18" i="20"/>
  <c r="P4" i="21"/>
  <c r="P6" i="21"/>
  <c r="P15" i="21"/>
  <c r="P3" i="22"/>
  <c r="P5" i="22"/>
  <c r="P14" i="22"/>
  <c r="P5" i="23"/>
  <c r="P8" i="23"/>
  <c r="P17" i="23"/>
  <c r="P7" i="24"/>
  <c r="P12" i="24"/>
  <c r="P13" i="24"/>
  <c r="P8" i="26"/>
  <c r="P10" i="26"/>
  <c r="P2" i="27"/>
  <c r="P7" i="27"/>
  <c r="P10" i="27"/>
  <c r="P4" i="17"/>
  <c r="P17" i="19"/>
  <c r="P12" i="21"/>
  <c r="P14" i="23"/>
  <c r="P4" i="24"/>
  <c r="P4" i="15"/>
  <c r="P8" i="17"/>
  <c r="P3" i="20"/>
  <c r="P12" i="20"/>
  <c r="P16" i="21"/>
  <c r="P18" i="23"/>
  <c r="P8" i="24"/>
  <c r="P4" i="26"/>
  <c r="P6" i="26"/>
  <c r="P13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6" i="7"/>
  <c r="L3" i="7"/>
  <c r="L5" i="7"/>
  <c r="L7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<sst xmlns="http://schemas.openxmlformats.org/spreadsheetml/2006/main" count="3102" uniqueCount="507">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</sst>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8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7" totalsRowShown="0" headerRowDxfId="811" dataDxfId="810">
  <autoFilter ref="A1:M7" xr:uid="{C1E5B811-4E73-4FA4-AC1E-2349561FB382}"/>
  <sortState xmlns:xlrd2="http://schemas.microsoft.com/office/spreadsheetml/2017/richdata2" ref="A2:M7">
    <sortCondition descending="1" ref="L2:L8"/>
  </sortState>
  <tableColumns count="13">
    <tableColumn id="1" xr3:uid="{BD9F344E-F45D-47B9-9BD7-5417691B8A3C}" name="Player" dataDxfId="809"/>
    <tableColumn id="2" xr3:uid="{8BED86F1-4813-49A8-BC0E-0D8705FE13E7}" name="Pos." dataDxfId="808"/>
    <tableColumn id="5" xr3:uid="{84667B50-2F5C-43B4-B6E2-AFFC3784ADD4}" name="xPoints Scaled" dataDxfId="0">
      <calculatedColumnFormula>IF(MAX(GameRecord[GW]) &lt;= 19, NewTransfers[[#This Row],[xPoints Av.]] *3, NewTransfers[[#This Row],[xPoints Av.]])</calculatedColumnFormula>
    </tableColumn>
    <tableColumn id="3" xr3:uid="{5F2E12B6-A794-4C4C-B4FD-88A9A9E9AF47}" name="xPoints Av." dataDxfId="807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806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805"/>
    <tableColumn id="9" xr3:uid="{6F9C2EE0-BD7A-4E66-A7F9-718810274ECA}" name="xAp90 This Season" dataDxfId="804"/>
    <tableColumn id="10" xr3:uid="{F496BBD3-7CC1-49FE-B08E-CE556D9FF365}" name="CSp90 This Season" dataDxfId="803"/>
    <tableColumn id="13" xr3:uid="{FAE63E33-2AF2-4F39-9ADB-4CF759D7A30B}" name="60+Mins This Season" dataDxfId="802"/>
    <tableColumn id="14" xr3:uid="{DCF8D805-83C5-41A6-94BE-0D78BD3C0ABB}" name="Possible 60+Mins This Season" dataDxfId="801"/>
    <tableColumn id="15" xr3:uid="{E1DA24A9-9CAA-4B4A-BE3D-080F83EE6048}" name="Price" dataDxfId="800"/>
    <tableColumn id="16" xr3:uid="{9174BA55-3767-48DA-BCF4-BB2102AADAD3}" name="Quality" dataDxfId="799">
      <calculatedColumnFormula>NewTransfers[[#This Row],[xPoints Scaled]]*NewTransfers[[#This Row],[Regularity]]</calculatedColumnFormula>
    </tableColumn>
    <tableColumn id="17" xr3:uid="{7FDF3D5C-A0A4-4421-B57B-3BC7E571DE3E}" name="Team" dataDxfId="798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20" totalsRowShown="0" headerRowDxfId="652" dataDxfId="651">
  <autoFilter ref="A1:M20" xr:uid="{3DD76243-C831-4B36-BB93-00AE446CE848}"/>
  <sortState xmlns:xlrd2="http://schemas.microsoft.com/office/spreadsheetml/2017/richdata2" ref="A2:M20">
    <sortCondition descending="1" ref="L2:L21"/>
  </sortState>
  <tableColumns count="13">
    <tableColumn id="1" xr3:uid="{9CC0C44C-6DEB-4295-B0E8-AAF813599B18}" name="Player" dataDxfId="650"/>
    <tableColumn id="2" xr3:uid="{94229BE0-385E-4C05-8EF3-E4EB787BDD65}" name="Pos." dataDxfId="649"/>
    <tableColumn id="5" xr3:uid="{7BF2D30D-33A9-40AB-927C-A26381D5700C}" name="xPoints Scaled" dataDxfId="648">
      <calculatedColumnFormula>IF(MAX(GameRecord[GW]) &lt;= 19, FUL_34[[#This Row],[xPoints Av.]] *1.5, FUL_34[[#This Row],[xPoints Av.]])</calculatedColumnFormula>
    </tableColumn>
    <tableColumn id="3" xr3:uid="{EFE0C4B3-7DC5-4EF4-A251-B0D05363A9DA}" name="xPoints Av." dataDxfId="647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646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645"/>
    <tableColumn id="9" xr3:uid="{B5426E53-981F-47CB-B6C7-F7C3F47851A3}" name="xAp90 This Season" dataDxfId="644"/>
    <tableColumn id="10" xr3:uid="{1B299E62-8E9D-4033-BF09-06494D5BDA4F}" name="CSp90 This Season" dataDxfId="643"/>
    <tableColumn id="13" xr3:uid="{32312071-08CD-4140-A95D-6264DD0B25EE}" name="60+Mins This Season" dataDxfId="642"/>
    <tableColumn id="14" xr3:uid="{EEACBE90-51EF-444F-A53D-738A67EDB7C7}" name="Possible 60+Mins This Season" dataDxfId="641"/>
    <tableColumn id="15" xr3:uid="{E6B88442-AB72-4217-B06E-A052B4B7B7A6}" name="Price" dataDxfId="640"/>
    <tableColumn id="16" xr3:uid="{43F1A101-BEB7-4DB3-ADB7-E6F6E462F62F}" name="Quality" dataDxfId="639">
      <calculatedColumnFormula>FUL_34[[#This Row],[xPoints Scaled]]*FUL_34[[#This Row],[Regularity]]</calculatedColumnFormula>
    </tableColumn>
    <tableColumn id="17" xr3:uid="{CC03AB5F-DAE4-4CA3-AE89-FEA0D4057DEE}" name="Team" dataDxfId="638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20" totalsRowShown="0" headerRowDxfId="637" dataDxfId="636">
  <autoFilter ref="A1:M20" xr:uid="{DA2A4F84-8D22-484D-8CF5-EB8D990D2BD9}"/>
  <sortState xmlns:xlrd2="http://schemas.microsoft.com/office/spreadsheetml/2017/richdata2" ref="A2:M20">
    <sortCondition descending="1" ref="L2:L21"/>
  </sortState>
  <tableColumns count="13">
    <tableColumn id="1" xr3:uid="{4CE1219C-1473-498B-A1BF-C94DD2A57F6E}" name="Player" dataDxfId="635"/>
    <tableColumn id="2" xr3:uid="{58129EB9-020D-4FCE-8378-54CC4CDE4841}" name="Pos." dataDxfId="634"/>
    <tableColumn id="5" xr3:uid="{56873C6C-622B-4327-9B46-B4B29FEE2F13}" name="xPoints Scaled" dataDxfId="633">
      <calculatedColumnFormula>IF(MAX(GameRecord[GW]) &lt;= 19, FOR_36[[#This Row],[xPoints Av.]] *1.5, FOR_36[[#This Row],[xPoints Av.]])</calculatedColumnFormula>
    </tableColumn>
    <tableColumn id="3" xr3:uid="{8077C1E6-8A94-42AC-87AF-2EB7161456F7}" name="xPoints Av." dataDxfId="632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631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630"/>
    <tableColumn id="9" xr3:uid="{440EA7AB-D787-4A20-B90A-6F3F8E5D705C}" name="xAp90 This Season" dataDxfId="629"/>
    <tableColumn id="10" xr3:uid="{5A4F52E3-2790-414D-9EC8-17882272C832}" name="CSp90 This Season" dataDxfId="628"/>
    <tableColumn id="13" xr3:uid="{861319C8-FA28-4A82-8C77-73E9F87434F4}" name="60+Mins This Season" dataDxfId="627"/>
    <tableColumn id="14" xr3:uid="{914B5ECE-E43A-4AB5-BABF-71C948A544C1}" name="Possible 60+Mins This Season" dataDxfId="626"/>
    <tableColumn id="15" xr3:uid="{7F8F1EDA-80DD-41B1-91E1-9C8D72AF3B7F}" name="Price" dataDxfId="9"/>
    <tableColumn id="16" xr3:uid="{7C21AF4B-313E-44A7-B80F-7AC7BBED2A77}" name="Quality" dataDxfId="625">
      <calculatedColumnFormula>FOR_36[[#This Row],[xPoints Scaled]]*FOR_36[[#This Row],[Regularity]]</calculatedColumnFormula>
    </tableColumn>
    <tableColumn id="17" xr3:uid="{0D803A9B-A226-48EA-B111-0735FE5BDC4D}" name="Team" dataDxfId="624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8" totalsRowShown="0" headerRowDxfId="623" dataDxfId="622">
  <autoFilter ref="A1:Q18" xr:uid="{E63F08EF-8093-4D24-BB23-C70F41E70322}"/>
  <sortState xmlns:xlrd2="http://schemas.microsoft.com/office/spreadsheetml/2017/richdata2" ref="A2:Q18">
    <sortCondition descending="1" ref="P142:P159"/>
  </sortState>
  <tableColumns count="17">
    <tableColumn id="1" xr3:uid="{0C287755-B07D-43E6-990C-B647B575A3A9}" name="Player" dataDxfId="621"/>
    <tableColumn id="2" xr3:uid="{4DD1026B-AA69-450E-8F5D-413E1E93360C}" name="Pos." dataDxfId="620"/>
    <tableColumn id="3" xr3:uid="{BA8FDD1D-22F0-46A1-9E40-0DB5B0852C5C}" name="xPoints Av." dataDxfId="619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618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617"/>
    <tableColumn id="6" xr3:uid="{442FA445-94AE-4AC9-B531-D7FD5BB82E80}" name="xAp90 Last Season" dataDxfId="616"/>
    <tableColumn id="7" xr3:uid="{F946336F-A657-469F-839A-3D578B59B323}" name="CSp90 Last Season" dataDxfId="615"/>
    <tableColumn id="11" xr3:uid="{1BA1CEAF-2C5F-41E3-A4F5-F088B142E721}" name="60+Mins Last Season" dataDxfId="614"/>
    <tableColumn id="12" xr3:uid="{84FF1A0C-4E6C-450B-AC93-866B95FB8F27}" name="Possible 60+Mins Last Season" dataDxfId="613"/>
    <tableColumn id="8" xr3:uid="{56DFFB0B-1886-4F1F-A836-B7DDD0C0910E}" name="xGp90 This Season" dataDxfId="612"/>
    <tableColumn id="9" xr3:uid="{9382892D-DEBE-4F6C-AFDF-48FC70DAEBA4}" name="xAp90 This Season" dataDxfId="611"/>
    <tableColumn id="10" xr3:uid="{DCE7467D-D126-45BF-96F0-B7E2E355D2BF}" name="CSp90 This Season" dataDxfId="610"/>
    <tableColumn id="13" xr3:uid="{7AD7FF50-F72D-4162-AA0B-C85B739D5652}" name="60+Mins This Season" dataDxfId="609"/>
    <tableColumn id="14" xr3:uid="{4847FCC4-6465-4A41-AC5E-1B3C254A95D2}" name="Possible 60+Mins This Season" dataDxfId="608"/>
    <tableColumn id="15" xr3:uid="{561CF330-1CC8-4DEA-A7C2-52185B99B57C}" name="Price" dataDxfId="8"/>
    <tableColumn id="16" xr3:uid="{8EAF645F-1B87-4C07-87C6-B1A9041399AD}" name="Quality" dataDxfId="607">
      <calculatedColumnFormula>LEE_35[[#This Row],[xPoints Av.]]*LEE_35[[#This Row],[Regularity]]</calculatedColumnFormula>
    </tableColumn>
    <tableColumn id="17" xr3:uid="{F37A6C72-D601-4046-92F3-77B20A393281}" name="Team" dataDxfId="606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9" totalsRowShown="0" headerRowDxfId="605" dataDxfId="604">
  <autoFilter ref="A1:Q19" xr:uid="{0B3AAFC1-B6D2-4DE8-A89A-C4DE82228A82}"/>
  <sortState xmlns:xlrd2="http://schemas.microsoft.com/office/spreadsheetml/2017/richdata2" ref="A2:Q19">
    <sortCondition descending="1" ref="P164:P182"/>
  </sortState>
  <tableColumns count="17">
    <tableColumn id="1" xr3:uid="{B0F826E4-A90C-481D-872F-CE311BAB6DBA}" name="Player" dataDxfId="603"/>
    <tableColumn id="2" xr3:uid="{271F8F51-3E9F-4238-8BC6-2A6FBCDBC6C4}" name="Pos." dataDxfId="602"/>
    <tableColumn id="3" xr3:uid="{606314B5-8BE1-4C6B-994D-25B89CA2BA8D}" name="xPoints Av." dataDxfId="601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600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599"/>
    <tableColumn id="6" xr3:uid="{85000DDF-B9E3-4C92-9E91-BC8E2E061449}" name="xAp90 Last Season" dataDxfId="598"/>
    <tableColumn id="7" xr3:uid="{72448F0E-6289-4603-9128-1F361E2F5009}" name="CSp90 Last Season" dataDxfId="597"/>
    <tableColumn id="11" xr3:uid="{5A9FEDDF-D54E-4220-BC96-0DCC5ACCF0E8}" name="60+Mins Last Season" dataDxfId="596"/>
    <tableColumn id="12" xr3:uid="{17054B65-EFFD-435E-BAD3-D175F3EEEC0E}" name="Possible 60+Mins Last Season" dataDxfId="595"/>
    <tableColumn id="8" xr3:uid="{FD42E828-2DDF-4BE2-9DF7-A6420012A5A3}" name="xGp90 This Season" dataDxfId="594"/>
    <tableColumn id="9" xr3:uid="{B7EA2A67-A4D1-4D67-A1FF-465C96225C3D}" name="xAp90 This Season" dataDxfId="593"/>
    <tableColumn id="10" xr3:uid="{AD7E4DF1-FBDD-415E-AC8E-F3DAADEE74FE}" name="CSp90 This Season" dataDxfId="592"/>
    <tableColumn id="13" xr3:uid="{5A080BD6-A32D-4051-B119-FFE969F06762}" name="60+Mins This Season" dataDxfId="591"/>
    <tableColumn id="14" xr3:uid="{E2705A03-B041-4BDC-8DBC-100C8797329B}" name="Possible 60+Mins This Season" dataDxfId="590"/>
    <tableColumn id="15" xr3:uid="{58986B4F-917F-4B50-94C8-DB0FF18D985E}" name="Price" dataDxfId="7"/>
    <tableColumn id="16" xr3:uid="{B3FB708E-2366-43EE-BF27-40B1E609C3FF}" name="Quality" dataDxfId="589">
      <calculatedColumnFormula>LEI_37[[#This Row],[xPoints Av.]]*LEI_37[[#This Row],[Regularity]]</calculatedColumnFormula>
    </tableColumn>
    <tableColumn id="17" xr3:uid="{09F91BDA-C482-4F02-8F4C-113FC0731DB5}" name="Team" dataDxfId="588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2" totalsRowShown="0" headerRowDxfId="587" dataDxfId="586">
  <autoFilter ref="A1:Q22" xr:uid="{19175F4B-FB60-4F23-8A13-39AD4EEC608F}"/>
  <sortState xmlns:xlrd2="http://schemas.microsoft.com/office/spreadsheetml/2017/richdata2" ref="A2:Q22">
    <sortCondition descending="1" ref="P185:P206"/>
  </sortState>
  <tableColumns count="17">
    <tableColumn id="1" xr3:uid="{B9EE3312-0174-455B-983E-B6FBA4A157DD}" name="Player" dataDxfId="585"/>
    <tableColumn id="2" xr3:uid="{4757EB55-7C1C-4A06-8F67-7FC8A4BBD0DF}" name="Pos." dataDxfId="584"/>
    <tableColumn id="3" xr3:uid="{42F6A1E2-C33B-484D-9DD0-6895A701DF01}" name="xPoints Av." dataDxfId="583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582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581"/>
    <tableColumn id="6" xr3:uid="{D9AC819B-BB18-4B4E-B443-0D8C82A3CF88}" name="xAp90 Last Season" dataDxfId="580"/>
    <tableColumn id="7" xr3:uid="{67987ABA-29D3-4450-B273-7E98F2971F33}" name="CSp90 Last Season" dataDxfId="579"/>
    <tableColumn id="11" xr3:uid="{EE0F7404-DD2F-497D-A39C-6F4ADF2A410E}" name="60+Mins Last Season" dataDxfId="578"/>
    <tableColumn id="12" xr3:uid="{3DE35C84-A7AF-4D17-9088-1F16CF4B9225}" name="Possible 60+Mins Last Season" dataDxfId="577"/>
    <tableColumn id="8" xr3:uid="{45ECADA8-F10D-4443-A661-3168536225BB}" name="xGp90 This Season" dataDxfId="576"/>
    <tableColumn id="9" xr3:uid="{FAFAEA2E-0903-44D9-894A-3A6EE9A9E624}" name="xAp90 This Season" dataDxfId="575"/>
    <tableColumn id="10" xr3:uid="{DAD8B763-094D-4855-A614-BB885FF84639}" name="CSp90 This Season" dataDxfId="574"/>
    <tableColumn id="13" xr3:uid="{17E0F6BE-E119-4B99-9D82-4DD1F03609DD}" name="60+Mins This Season" dataDxfId="573"/>
    <tableColumn id="14" xr3:uid="{0AE9992C-2311-4F7A-848E-4743DAEDC4FD}" name="Possible 60+Mins This Season" dataDxfId="572"/>
    <tableColumn id="15" xr3:uid="{318BA01A-6E72-4235-BCF4-2D95CD32E144}" name="Price" dataDxfId="571"/>
    <tableColumn id="16" xr3:uid="{3D31161C-6814-4F69-AA7D-4D694487F063}" name="Quality" dataDxfId="570">
      <calculatedColumnFormula>LIV_38[[#This Row],[xPoints Av.]]*LIV_38[[#This Row],[Regularity]]</calculatedColumnFormula>
    </tableColumn>
    <tableColumn id="17" xr3:uid="{9A38909F-9175-4AC7-ABD5-301A8170DA54}" name="Team" dataDxfId="569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568" dataDxfId="567">
  <autoFilter ref="A1:Q18" xr:uid="{2187FFDF-8DB9-4119-AAF4-E7B83CCBDECE}"/>
  <sortState xmlns:xlrd2="http://schemas.microsoft.com/office/spreadsheetml/2017/richdata2" ref="A2:Q18">
    <sortCondition descending="1" ref="P209:P226"/>
  </sortState>
  <tableColumns count="17">
    <tableColumn id="1" xr3:uid="{518A891B-87DF-4E6A-83B0-47B51507A0B7}" name="Player" dataDxfId="566"/>
    <tableColumn id="2" xr3:uid="{19058B6F-F7FD-4B36-8DE6-5C0DCFE8CF5B}" name="Pos." dataDxfId="565"/>
    <tableColumn id="3" xr3:uid="{4887C91E-D23B-4685-BB97-89AF09A7C494}" name="xPoints Av." dataDxfId="564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563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562"/>
    <tableColumn id="6" xr3:uid="{539B0510-A153-4596-891B-C623DB034B23}" name="xAp90 Last Season" dataDxfId="561"/>
    <tableColumn id="7" xr3:uid="{EE4F8052-AC3A-4128-96F2-AA10081741C6}" name="CSp90 Last Season" dataDxfId="560"/>
    <tableColumn id="11" xr3:uid="{765330C2-EC37-427D-AA43-037E08958FFA}" name="60+Mins Last Season" dataDxfId="559"/>
    <tableColumn id="12" xr3:uid="{A2910570-13BF-47DB-8692-93B8175FA1E9}" name="Possible 60+Mins Last Season" dataDxfId="558"/>
    <tableColumn id="8" xr3:uid="{5BD2F22A-BE02-4CA2-980E-7E51315CAE73}" name="xGp90 This Season" dataDxfId="557"/>
    <tableColumn id="9" xr3:uid="{B1A7DDDC-D16E-473F-9DCC-926FB538B179}" name="xAp90 This Season" dataDxfId="556"/>
    <tableColumn id="10" xr3:uid="{F92EFD24-C5DE-4BAC-9582-EF450D037EC2}" name="CSp90 This Season" dataDxfId="555"/>
    <tableColumn id="13" xr3:uid="{6020BC9E-4AC3-4388-9719-82BE263B791F}" name="60+Mins This Season" dataDxfId="554"/>
    <tableColumn id="14" xr3:uid="{B3DF4D8E-65A4-4791-AC9D-489300B7C95F}" name="Possible 60+Mins This Season" dataDxfId="553"/>
    <tableColumn id="15" xr3:uid="{19D1CE31-20AC-4122-8CBB-B3284690172B}" name="Price" dataDxfId="552"/>
    <tableColumn id="16" xr3:uid="{963D7E69-A565-44DA-B652-1D5AF2A35027}" name="Quality" dataDxfId="551">
      <calculatedColumnFormula>MCI_39[[#This Row],[xPoints Av.]]*MCI_39[[#This Row],[Regularity]]</calculatedColumnFormula>
    </tableColumn>
    <tableColumn id="17" xr3:uid="{C1922834-9EB0-41BD-B383-D81A4DA72837}" name="Team" dataDxfId="550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7" totalsRowShown="0" headerRowDxfId="549" dataDxfId="548">
  <autoFilter ref="A1:Q17" xr:uid="{1B095DFB-E0C6-402A-8E5F-4CD8C235541C}"/>
  <sortState xmlns:xlrd2="http://schemas.microsoft.com/office/spreadsheetml/2017/richdata2" ref="A2:Q17">
    <sortCondition descending="1" ref="P229:P245"/>
  </sortState>
  <tableColumns count="17">
    <tableColumn id="1" xr3:uid="{B80CCBA6-E699-4288-9857-72ED70861EA5}" name="Player" dataDxfId="547"/>
    <tableColumn id="2" xr3:uid="{8E7DB1CD-3D64-4812-B344-CECE243B6980}" name="Pos." dataDxfId="546"/>
    <tableColumn id="3" xr3:uid="{01F98FFE-5257-42E8-A437-4F81EE09D13D}" name="xPoints Av." dataDxfId="545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544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543"/>
    <tableColumn id="6" xr3:uid="{559A7D2D-A170-4566-BCD9-3CD24C7CB78E}" name="xAp90 Last Season" dataDxfId="542"/>
    <tableColumn id="7" xr3:uid="{3BFD370C-8685-4FEC-B308-696C2A029AA0}" name="CSp90 Last Season" dataDxfId="541"/>
    <tableColumn id="11" xr3:uid="{68CA63D2-5243-4F75-A120-F27CD2745D26}" name="60+Mins Last Season" dataDxfId="540"/>
    <tableColumn id="12" xr3:uid="{27E881CA-5F19-4397-AFF0-0953AEA3AEB3}" name="Possible 60+Mins Last Season" dataDxfId="539"/>
    <tableColumn id="8" xr3:uid="{3A4E4F15-2B24-4F03-B385-07CE1282CA4B}" name="xGp90 This Season" dataDxfId="538"/>
    <tableColumn id="9" xr3:uid="{46EEBAC7-2A4F-42BA-B747-EF3FAAB1FFF2}" name="xAp90 This Season" dataDxfId="537"/>
    <tableColumn id="10" xr3:uid="{59B6BD65-49B7-42FD-8734-57561E0252AD}" name="CSp90 This Season" dataDxfId="536"/>
    <tableColumn id="13" xr3:uid="{C172FF3B-3E9E-431C-A8B8-31FB3F04C016}" name="60+Mins This Season" dataDxfId="535"/>
    <tableColumn id="14" xr3:uid="{B2CBE1E7-B418-451F-BB3D-1A635F285DB7}" name="Possible 60+Mins This Season" dataDxfId="534"/>
    <tableColumn id="15" xr3:uid="{F7754B7D-E26F-4216-9870-31B49121901D}" name="Price" dataDxfId="533"/>
    <tableColumn id="16" xr3:uid="{A127FFB1-E573-4F4E-B151-A5AB6BC6508B}" name="Quality" dataDxfId="532">
      <calculatedColumnFormula>MUN_40[[#This Row],[xPoints Av.]]*MUN_40[[#This Row],[Regularity]]</calculatedColumnFormula>
    </tableColumn>
    <tableColumn id="17" xr3:uid="{2E344098-14D4-4CCE-BEA4-873C9537E561}" name="Team" dataDxfId="531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530" dataDxfId="529">
  <autoFilter ref="A1:Q20" xr:uid="{67FA8863-E90C-45B5-AC1E-CAB23F3B1968}"/>
  <sortState xmlns:xlrd2="http://schemas.microsoft.com/office/spreadsheetml/2017/richdata2" ref="A2:Q20">
    <sortCondition descending="1" ref="P248:P267"/>
  </sortState>
  <tableColumns count="17">
    <tableColumn id="1" xr3:uid="{2CAF33AB-CC3E-4709-9E0F-983322606543}" name="Player" dataDxfId="528"/>
    <tableColumn id="2" xr3:uid="{98C401F0-F5A5-414A-965E-A5DCB963E2F1}" name="Pos." dataDxfId="527"/>
    <tableColumn id="3" xr3:uid="{E7ADEB87-BF2C-4870-83A4-FFAB9784229D}" name="xPoints Av." dataDxfId="526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525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524"/>
    <tableColumn id="6" xr3:uid="{7D30B858-DC6B-4724-80F5-63A1197FA0E3}" name="xAp90 Last Season" dataDxfId="523"/>
    <tableColumn id="7" xr3:uid="{533C956C-C4CF-4B66-A625-9642B11570BD}" name="CSp90 Last Season" dataDxfId="522"/>
    <tableColumn id="11" xr3:uid="{C985D62D-C0F6-485B-AA81-FACA0E8D5C88}" name="60+Mins Last Season" dataDxfId="521"/>
    <tableColumn id="12" xr3:uid="{04BB5432-7142-4EC7-B03B-34DABC0DB425}" name="Possible 60+Mins Last Season" dataDxfId="520"/>
    <tableColumn id="8" xr3:uid="{E349910F-9CE7-4FEE-8686-971FA1C8FE84}" name="xGp90 This Season" dataDxfId="519"/>
    <tableColumn id="9" xr3:uid="{1C410536-7F9C-438D-A2BB-B2B661E8E6E1}" name="xAp90 This Season" dataDxfId="518"/>
    <tableColumn id="10" xr3:uid="{6151CA9E-E4AB-4AE2-91B6-C05A643F15CE}" name="CSp90 This Season" dataDxfId="517"/>
    <tableColumn id="13" xr3:uid="{A688D4FF-DD19-4AD4-806F-3619FE6E3CB0}" name="60+Mins This Season" dataDxfId="516"/>
    <tableColumn id="14" xr3:uid="{40C06425-1087-49F4-BCD4-38CA85B6818D}" name="Possible 60+Mins This Season" dataDxfId="515"/>
    <tableColumn id="15" xr3:uid="{7FEF10C8-05C3-4EA9-8252-A29E8BC58484}" name="Price" dataDxfId="514"/>
    <tableColumn id="16" xr3:uid="{F503E481-2D1F-4442-8F73-50B86388E29C}" name="Quality" dataDxfId="513">
      <calculatedColumnFormula>NEW_41[[#This Row],[xPoints Av.]]*NEW_41[[#This Row],[Regularity]]</calculatedColumnFormula>
    </tableColumn>
    <tableColumn id="17" xr3:uid="{E746EAEF-07A4-441E-948E-C28458F56C42}" name="Team" dataDxfId="512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7" totalsRowShown="0" headerRowDxfId="511" dataDxfId="510">
  <autoFilter ref="A1:Q17" xr:uid="{C5812EF2-104A-4179-9A88-37149808A6E0}"/>
  <sortState xmlns:xlrd2="http://schemas.microsoft.com/office/spreadsheetml/2017/richdata2" ref="A2:Q17">
    <sortCondition descending="1" ref="P268:P285"/>
  </sortState>
  <tableColumns count="17">
    <tableColumn id="1" xr3:uid="{35F5E554-223E-403A-A41F-19FDBE7551AE}" name="Player" dataDxfId="509"/>
    <tableColumn id="2" xr3:uid="{0313254D-6A4D-4E3B-8F52-F148CD2381E1}" name="Pos." dataDxfId="508"/>
    <tableColumn id="3" xr3:uid="{DC43CA21-EA84-4262-9A84-69E094D17C3A}" name="xPoints Av." dataDxfId="507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506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505"/>
    <tableColumn id="6" xr3:uid="{168BA38B-9D35-4EF0-BA94-1EB0DEEE9E83}" name="xAp90 Last Season" dataDxfId="504"/>
    <tableColumn id="7" xr3:uid="{5B318441-CF77-4A8D-A771-A57706AA16C2}" name="CSp90 Last Season" dataDxfId="503"/>
    <tableColumn id="11" xr3:uid="{A33A9F6F-CCE8-49FD-8960-7AFCBF24DAE8}" name="60+Mins Last Season" dataDxfId="502"/>
    <tableColumn id="12" xr3:uid="{85913F70-F7CD-4A4A-8B28-05D75A038F22}" name="Possible 60+Mins Last Season" dataDxfId="501"/>
    <tableColumn id="8" xr3:uid="{36F5EB00-9129-4518-AD19-600DB437B41D}" name="xGp90 This Season" dataDxfId="500"/>
    <tableColumn id="9" xr3:uid="{21D42449-EFAD-4C5F-8C32-E7D6D71DB495}" name="xAp90 This Season" dataDxfId="499"/>
    <tableColumn id="10" xr3:uid="{8CECD5D0-343E-49D6-8028-7774D3B10168}" name="CSp90 This Season" dataDxfId="498"/>
    <tableColumn id="13" xr3:uid="{0215C3A8-1C7C-4CBC-8D7B-0901F068BF84}" name="60+Mins This Season" dataDxfId="497"/>
    <tableColumn id="14" xr3:uid="{82BD125B-F40A-4F5D-9011-3E4A5785250F}" name="Possible 60+Mins This Season" dataDxfId="496"/>
    <tableColumn id="15" xr3:uid="{856F0F95-F196-4108-AD38-2C1BFA210B79}" name="Price" dataDxfId="6"/>
    <tableColumn id="16" xr3:uid="{C75D48DC-F915-486E-B0C2-8E90183F9769}" name="Quality" dataDxfId="495">
      <calculatedColumnFormula>SOU_42[[#This Row],[xPoints Av.]]*SOU_42[[#This Row],[Regularity]]</calculatedColumnFormula>
    </tableColumn>
    <tableColumn id="17" xr3:uid="{539DD629-DDE2-478F-9AC0-3443BACE6078}" name="Team" dataDxfId="494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1" totalsRowShown="0" headerRowDxfId="493" dataDxfId="492">
  <autoFilter ref="A1:Q21" xr:uid="{3D23507D-3945-46B4-AA2D-21751BE8E93B}"/>
  <sortState xmlns:xlrd2="http://schemas.microsoft.com/office/spreadsheetml/2017/richdata2" ref="A2:Q21">
    <sortCondition descending="1" ref="P291:P310"/>
  </sortState>
  <tableColumns count="17">
    <tableColumn id="1" xr3:uid="{0A432E1C-997D-44C4-8A3B-8729FE160E42}" name="Player" dataDxfId="491"/>
    <tableColumn id="2" xr3:uid="{953AC585-1291-4B76-B0E7-7FB51AB31177}" name="Pos." dataDxfId="490"/>
    <tableColumn id="3" xr3:uid="{E073F35D-DF48-44EE-ABB8-112C1E578989}" name="xPoints Av." dataDxfId="489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488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487"/>
    <tableColumn id="6" xr3:uid="{6E2FAD72-D457-43EA-B6C1-B3DAF39F5AB3}" name="xAp90 Last Season" dataDxfId="486"/>
    <tableColumn id="7" xr3:uid="{31A648F9-0A01-4AA2-B2B0-C80BE398025B}" name="CSp90 Last Season" dataDxfId="485"/>
    <tableColumn id="11" xr3:uid="{F1BF66BD-BC74-4411-983C-8262069C647A}" name="60+Mins Last Season" dataDxfId="484"/>
    <tableColumn id="12" xr3:uid="{CC29F6D1-3FDD-4508-8E31-C4A18C54F529}" name="Possible 60+Mins Last Season" dataDxfId="483"/>
    <tableColumn id="8" xr3:uid="{9A26F866-6CC8-4016-A28A-D7005710B9A4}" name="xGp90 This Season" dataDxfId="482"/>
    <tableColumn id="9" xr3:uid="{06BB31E9-F0A3-4C38-BD99-3D737A531866}" name="xAp90 This Season" dataDxfId="481"/>
    <tableColumn id="10" xr3:uid="{1C5704BA-5994-4B0F-BA2D-10B18E863BB4}" name="CSp90 This Season" dataDxfId="480"/>
    <tableColumn id="13" xr3:uid="{196F641B-2E8E-4E63-8436-4659FE601C5B}" name="60+Mins This Season" dataDxfId="479"/>
    <tableColumn id="14" xr3:uid="{CE3EFDA6-DBD5-4574-9F6F-EE0B76DF5A78}" name="Possible 60+Mins This Season" dataDxfId="478"/>
    <tableColumn id="15" xr3:uid="{576658EA-A559-4209-A92E-350D624046B4}" name="Price" dataDxfId="477"/>
    <tableColumn id="16" xr3:uid="{117CDAA0-A739-423F-8B09-5E9DA73D3EBA}" name="Quality" dataDxfId="476">
      <calculatedColumnFormula>TOT_43[[#This Row],[xPoints Av.]]*TOT_43[[#This Row],[Regularity]]</calculatedColumnFormula>
    </tableColumn>
    <tableColumn id="17" xr3:uid="{53C8BD5E-DC08-41C7-860D-20B409802870}" name="Team" dataDxfId="475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19" totalsRowShown="0" headerRowDxfId="797" dataDxfId="796">
  <autoFilter ref="A1:Q19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795"/>
    <tableColumn id="2" xr3:uid="{57DF5C59-B7AA-4741-9091-C849DEA6AE7F}" name="Pos." dataDxfId="794"/>
    <tableColumn id="3" xr3:uid="{4B92F3B0-F6FE-47FA-BA0B-8D61B0C9C848}" name="xPoints Av." dataDxfId="793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792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791"/>
    <tableColumn id="6" xr3:uid="{B2BCB5A1-C5B9-4D92-AC58-BA34538F8E8B}" name="xAp90 Last Season" dataDxfId="790"/>
    <tableColumn id="7" xr3:uid="{903D576B-DA0D-428D-9DD0-0780E933EB01}" name="CSp90 Last Season" dataDxfId="789">
      <calculatedColumnFormula>12/(3060/90)</calculatedColumnFormula>
    </tableColumn>
    <tableColumn id="11" xr3:uid="{12FA3D2E-28D3-42D3-BB46-9D8FC4698F32}" name="60+Mins Last Season" dataDxfId="788"/>
    <tableColumn id="12" xr3:uid="{B7C2B87C-8F64-4757-AC9E-4D8411725E20}" name="Possible 60+Mins Last Season" dataDxfId="787"/>
    <tableColumn id="8" xr3:uid="{6AD0E0FB-1A2E-4E07-852B-38FC6013085B}" name="xGp90 This Season" dataDxfId="786"/>
    <tableColumn id="9" xr3:uid="{D5436B27-7248-4E30-B685-207BF52D3E24}" name="xAp90 This Season" dataDxfId="785"/>
    <tableColumn id="10" xr3:uid="{28A29C39-C55A-487A-A6A8-AE734A0A1C54}" name="CSp90 This Season" dataDxfId="784"/>
    <tableColumn id="13" xr3:uid="{3BF15EE9-8483-4847-88C4-111D2079A791}" name="60+Mins This Season" dataDxfId="783"/>
    <tableColumn id="14" xr3:uid="{26B80AFA-1401-429B-A929-01785F70FE95}" name="Possible 60+Mins This Season" dataDxfId="782"/>
    <tableColumn id="15" xr3:uid="{5E45351B-E40C-4AA7-8FD3-410DBEBB5D73}" name="Price" dataDxfId="781"/>
    <tableColumn id="16" xr3:uid="{94B4E80B-9933-48D9-8EB8-8476BDBA9F0A}" name="Quality" dataDxfId="780">
      <calculatedColumnFormula>ARS_26[[#This Row],[xPoints Av.]]*ARS_26[[#This Row],[Regularity]]</calculatedColumnFormula>
    </tableColumn>
    <tableColumn id="17" xr3:uid="{8BABB8CF-1FFA-4826-BF71-02740BC67F1B}" name="Team" dataDxfId="779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474" dataDxfId="473">
  <autoFilter ref="A1:Q16" xr:uid="{4D9B935C-D087-4EB7-9D64-49BF09B026E4}"/>
  <sortState xmlns:xlrd2="http://schemas.microsoft.com/office/spreadsheetml/2017/richdata2" ref="A2:Q16">
    <sortCondition descending="1" ref="P308:P323"/>
  </sortState>
  <tableColumns count="17">
    <tableColumn id="1" xr3:uid="{3539F574-0239-45D5-ACFB-EBB4E673B19E}" name="Player" dataDxfId="472"/>
    <tableColumn id="2" xr3:uid="{635EBC63-984D-4C5D-83ED-45FD7C67C2F6}" name="Pos." dataDxfId="471"/>
    <tableColumn id="3" xr3:uid="{720E2DE4-3F90-424C-A28B-697C4F70C72A}" name="xPoints Av." dataDxfId="470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469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468"/>
    <tableColumn id="6" xr3:uid="{B0E7B8FD-EDA2-4876-8F99-EF8370F93B5D}" name="xAp90 Last Season" dataDxfId="467"/>
    <tableColumn id="7" xr3:uid="{639AC1DF-B5C5-4920-B0D7-32400E7F9C08}" name="CSp90 Last Season" dataDxfId="466"/>
    <tableColumn id="11" xr3:uid="{9E5166DA-DF07-4618-A2AD-6ECDAC78A21D}" name="60+Mins Last Season" dataDxfId="465"/>
    <tableColumn id="12" xr3:uid="{9470CF2C-92A7-4CB5-B1C8-C3B60E3B59A8}" name="Possible 60+Mins Last Season" dataDxfId="464"/>
    <tableColumn id="8" xr3:uid="{5E0F7764-C8FC-425C-B191-70308B0BF055}" name="xGp90 This Season" dataDxfId="463"/>
    <tableColumn id="9" xr3:uid="{CD1C264A-7854-4A9E-AF7A-896549F1D815}" name="xAp90 This Season" dataDxfId="462"/>
    <tableColumn id="10" xr3:uid="{7D772B57-3713-4CD2-B60B-43220E3B687F}" name="CSp90 This Season" dataDxfId="461"/>
    <tableColumn id="13" xr3:uid="{E5501A41-4FC0-4766-9CD3-C53CDFE807F0}" name="60+Mins This Season" dataDxfId="460"/>
    <tableColumn id="14" xr3:uid="{3908014D-3DAF-496E-8EA7-10176F6E11D1}" name="Possible 60+Mins This Season" dataDxfId="459"/>
    <tableColumn id="15" xr3:uid="{8486F134-DCAD-42AA-A7A4-84316714BDC7}" name="Price" dataDxfId="5"/>
    <tableColumn id="16" xr3:uid="{D4C82F7F-3B33-4C6E-9F22-A92537096813}" name="Quality" dataDxfId="458">
      <calculatedColumnFormula>WHU_44[[#This Row],[xPoints Av.]]*WHU_44[[#This Row],[Regularity]]</calculatedColumnFormula>
    </tableColumn>
    <tableColumn id="17" xr3:uid="{04CFA457-A810-4B36-BE53-771EB81F66D8}" name="Team" dataDxfId="457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7" totalsRowShown="0" headerRowDxfId="456" dataDxfId="455">
  <autoFilter ref="A1:Q17" xr:uid="{E04C3FF0-BA22-4F72-8C2E-3EB5FF6F91AA}"/>
  <sortState xmlns:xlrd2="http://schemas.microsoft.com/office/spreadsheetml/2017/richdata2" ref="A2:Q17">
    <sortCondition descending="1" ref="P328:P344"/>
  </sortState>
  <tableColumns count="17">
    <tableColumn id="1" xr3:uid="{D13200A3-E2BE-4CCD-9AA8-190111A06CB2}" name="Player" dataDxfId="454"/>
    <tableColumn id="2" xr3:uid="{259C239B-3944-4923-883D-325AEDA5C698}" name="Pos." dataDxfId="453"/>
    <tableColumn id="3" xr3:uid="{AE4E2840-BFF7-4E8A-A6BD-B48BB90998F8}" name="xPoints Av." dataDxfId="452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51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50"/>
    <tableColumn id="6" xr3:uid="{C695AE94-CC14-414B-9476-1837EFCB1EF5}" name="xAp90 Last Season" dataDxfId="449"/>
    <tableColumn id="7" xr3:uid="{8D0A5B11-BEE2-4B43-9669-43087E55D3FA}" name="CSp90 Last Season" dataDxfId="448"/>
    <tableColumn id="11" xr3:uid="{99885C28-BD8F-4895-B167-D5BA1B0D7A2F}" name="60+Mins Last Season" dataDxfId="447"/>
    <tableColumn id="12" xr3:uid="{27A97B1C-31E3-414B-A6F1-786BCFCF76CA}" name="Possible 60+Mins Last Season" dataDxfId="446"/>
    <tableColumn id="8" xr3:uid="{4E80FFDC-CF1B-46AB-8293-5AC3B4780489}" name="xGp90 This Season" dataDxfId="445"/>
    <tableColumn id="9" xr3:uid="{CAC68A88-9718-41B1-86F6-A7251DD15D25}" name="xAp90 This Season" dataDxfId="444"/>
    <tableColumn id="10" xr3:uid="{BBD52E3D-A630-44DD-99A1-C1C308AA56D2}" name="CSp90 This Season" dataDxfId="443"/>
    <tableColumn id="13" xr3:uid="{9B180D95-F7C9-41D7-81A3-E4E5C7873B76}" name="60+Mins This Season" dataDxfId="442"/>
    <tableColumn id="14" xr3:uid="{5D1C6445-E149-4279-8296-C499EB7557EB}" name="Possible 60+Mins This Season" dataDxfId="441"/>
    <tableColumn id="15" xr3:uid="{E764C44B-2352-45DF-8747-2C1F01236990}" name="Price" dataDxfId="4"/>
    <tableColumn id="16" xr3:uid="{7AA4ED9D-9CF2-4D63-B274-D2113377FCFB}" name="Quality" dataDxfId="440">
      <calculatedColumnFormula>WOL_45[[#This Row],[xPoints Av.]]*WOL_45[[#This Row],[Regularity]]</calculatedColumnFormula>
    </tableColumn>
    <tableColumn id="17" xr3:uid="{E3CBE6A0-9448-49A4-AE61-D1F1F2120738}" name="Team" dataDxfId="439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438" dataDxfId="437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436"/>
    <tableColumn id="2" xr3:uid="{EA4CDE10-D852-4142-9BBE-7CEC353D89C1}" name="Pos." dataDxfId="435"/>
    <tableColumn id="3" xr3:uid="{0A8EDE3C-5627-433F-A47D-BD23DFEFD22C}" name="xPoints Av." dataDxfId="434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433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432"/>
    <tableColumn id="6" xr3:uid="{927D5C31-F857-4D07-B6D4-6D82C0714916}" name="xAp90 Last Season" dataDxfId="431"/>
    <tableColumn id="7" xr3:uid="{DCD3E584-5CFD-47AC-8F4A-1A82D37491C4}" name="CSp90 Last Season" dataDxfId="430">
      <calculatedColumnFormula>12/(3060/90)</calculatedColumnFormula>
    </tableColumn>
    <tableColumn id="11" xr3:uid="{7193FD69-920E-4308-A2BA-92936D9C3499}" name="60+Mins Last Season" dataDxfId="429"/>
    <tableColumn id="12" xr3:uid="{FE6DAE95-AB69-4582-831A-D0552EDA1318}" name="Possible 60+Mins Last Season" dataDxfId="428"/>
    <tableColumn id="8" xr3:uid="{8A1A4EDB-1C56-47A9-A0DE-7CC04BC53553}" name="xGp90 This Season" dataDxfId="427"/>
    <tableColumn id="9" xr3:uid="{BD32C07C-1CD4-45C9-9082-E6D72D18379A}" name="xAp90 This Season" dataDxfId="426"/>
    <tableColumn id="10" xr3:uid="{6F496F56-6003-4617-A59D-373F66BD07F2}" name="CSp90 This Season" dataDxfId="425"/>
    <tableColumn id="13" xr3:uid="{9D35213E-A92A-4C98-B02E-0F34858A5F24}" name="60+Mins This Season" dataDxfId="424"/>
    <tableColumn id="14" xr3:uid="{63024A62-D3D8-4BB1-8FBF-943C7D4CC12D}" name="Possible 60+Mins This Season" dataDxfId="423"/>
    <tableColumn id="15" xr3:uid="{5EBFF7DA-D4CB-4D60-8DE3-9452911434E4}" name="Price" dataDxfId="422"/>
    <tableColumn id="16" xr3:uid="{079B88F7-944E-4188-85FB-8A4D36D79DFB}" name="Quality" dataDxfId="421">
      <calculatedColumnFormula>ARS[[#This Row],[xPoints Av.]]*ARS[[#This Row],[Regularity]]</calculatedColumnFormula>
    </tableColumn>
    <tableColumn id="17" xr3:uid="{C33AC4FD-0F96-4E48-9243-88C8FA0EB613}" name="Team" dataDxfId="420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419" dataDxfId="418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417"/>
    <tableColumn id="2" xr3:uid="{873DC17D-AFAB-4B39-8A8E-B3740285CCA0}" name="Pos." dataDxfId="416"/>
    <tableColumn id="3" xr3:uid="{C8FB77BC-A671-4DD3-AAB7-4BEB80B78E07}" name="xPoints Av." dataDxfId="415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414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413"/>
    <tableColumn id="6" xr3:uid="{5CDDDB68-EA36-4848-B937-99A69AC203F9}" name="xAp90 Last Season" dataDxfId="412"/>
    <tableColumn id="7" xr3:uid="{1B6F29D6-72D3-4DAE-9ECE-5A48CE01C44A}" name="CSp90 Last Season" dataDxfId="411">
      <calculatedColumnFormula>11/(3240/90)</calculatedColumnFormula>
    </tableColumn>
    <tableColumn id="11" xr3:uid="{787AFB1E-4146-4CF9-B1EC-8147F708A561}" name="60+Mins Last Season" dataDxfId="410"/>
    <tableColumn id="12" xr3:uid="{CA80BA95-F9C7-4442-A2D1-68CAE3292AAA}" name="Possible 60+Mins Last Season" dataDxfId="409"/>
    <tableColumn id="8" xr3:uid="{987A0F40-2EFE-446D-95D9-DFC1CAC6BE9D}" name="xGp90 This Season" dataDxfId="408"/>
    <tableColumn id="9" xr3:uid="{CBD63C23-0CC4-4270-842B-C4DCA82C27E1}" name="xAp90 This Season" dataDxfId="407"/>
    <tableColumn id="10" xr3:uid="{F8D8D0EA-0111-4748-BDB2-DA8C108A9A26}" name="CSp90 This Season" dataDxfId="406"/>
    <tableColumn id="13" xr3:uid="{B09FEB3D-D63A-4558-93AB-EE68E14D0D87}" name="60+Mins This Season" dataDxfId="405"/>
    <tableColumn id="14" xr3:uid="{A987077C-1E79-445E-B244-CD40ADAF7C01}" name="Possible 60+Mins This Season" dataDxfId="404"/>
    <tableColumn id="15" xr3:uid="{8B01DD29-2994-4638-A853-CB9A54058174}" name="Price" dataDxfId="403"/>
    <tableColumn id="16" xr3:uid="{C39A520E-131E-48B4-BD0D-F28153302327}" name="Quality" dataDxfId="402">
      <calculatedColumnFormula>AVL[[#This Row],[xPoints Av.]]*AVL[[#This Row],[Regularity]]</calculatedColumnFormula>
    </tableColumn>
    <tableColumn id="17" xr3:uid="{29A35E43-A75C-4FD6-8EA4-57FFC1994A88}" name="Team" dataDxfId="401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400" dataDxfId="399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398"/>
    <tableColumn id="2" xr3:uid="{0667C5B2-63A0-4FDA-A9E9-3B29665DE3D6}" name="Pos." dataDxfId="397"/>
    <tableColumn id="3" xr3:uid="{A6131185-29A7-4F15-B19D-E751D2153B14}" name="xPoints Av." dataDxfId="396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395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394"/>
    <tableColumn id="6" xr3:uid="{2DDC3A47-8D8C-4FC6-8D67-B6C78005E80F}" name="xAp90 Last Season" dataDxfId="393"/>
    <tableColumn id="7" xr3:uid="{E2B212BB-14E0-4E4F-A18E-202096716D42}" name="CSp90 Last Season" dataDxfId="392">
      <calculatedColumnFormula>8/(2160/90)</calculatedColumnFormula>
    </tableColumn>
    <tableColumn id="11" xr3:uid="{FF30E1FC-8572-4915-BA77-E1CA5ECBF7F9}" name="60+Mins Last Season" dataDxfId="391"/>
    <tableColumn id="12" xr3:uid="{DE61027E-B9A6-4341-A72C-E717DF5ED4D2}" name="Possible 60+Mins Last Season" dataDxfId="390"/>
    <tableColumn id="8" xr3:uid="{5ABB0B03-BBC8-4E9B-A555-57FA833BC7A8}" name="xGp90 This Season" dataDxfId="389"/>
    <tableColumn id="9" xr3:uid="{9809B74B-C216-4069-89CA-938875743C1E}" name="xAp90 This Season" dataDxfId="388"/>
    <tableColumn id="10" xr3:uid="{8C48FD99-DDAD-4DA2-9ADE-6950D0DA6F08}" name="CSp90 This Season" dataDxfId="387"/>
    <tableColumn id="13" xr3:uid="{BE7EDFC5-0B5F-4D8F-8A44-B43EC254CD09}" name="60+Mins This Season" dataDxfId="386"/>
    <tableColumn id="14" xr3:uid="{A078F3E3-C8F1-42B1-BE48-D0DD35A206A5}" name="Possible 60+Mins This Season" dataDxfId="385"/>
    <tableColumn id="15" xr3:uid="{1757E204-546C-4EB2-92A3-E4E603A256B5}" name="Price" dataDxfId="384"/>
    <tableColumn id="16" xr3:uid="{566AA55A-02B1-4690-AEEE-69929832F603}" name="Quality" dataDxfId="383">
      <calculatedColumnFormula>BRE[[#This Row],[xPoints Av.]]*BRE[[#This Row],[Regularity]]</calculatedColumnFormula>
    </tableColumn>
    <tableColumn id="17" xr3:uid="{2D5BE65C-CE95-4BAE-AF10-F7ED4D864C77}" name="Team" dataDxfId="382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381" dataDxfId="380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379"/>
    <tableColumn id="2" xr3:uid="{7946EE36-81FB-4CF9-8417-C5E85AA8F734}" name="Pos." dataDxfId="378"/>
    <tableColumn id="3" xr3:uid="{D434DBA6-8804-48AF-B4E5-2925A3F3FEF3}" name="xPoints Av." dataDxfId="377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376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375"/>
    <tableColumn id="6" xr3:uid="{B86DF37E-8A77-4F78-A967-FEB35C7FFE5A}" name="xAp90 Last Season" dataDxfId="374"/>
    <tableColumn id="7" xr3:uid="{2B839A61-5F73-481F-A423-D7C73BF4468F}" name="CSp90 Last Season" dataDxfId="373">
      <calculatedColumnFormula>11/(3330/90)</calculatedColumnFormula>
    </tableColumn>
    <tableColumn id="11" xr3:uid="{E267E6A3-D767-41F6-8229-B49BA2F5C468}" name="60+Mins Last Season" dataDxfId="372"/>
    <tableColumn id="12" xr3:uid="{77AE5743-DD0D-492F-9A6A-F488AB5D1F6B}" name="Possible 60+Mins Last Season" dataDxfId="371"/>
    <tableColumn id="8" xr3:uid="{98104230-2D6B-4904-92AE-B995C862DB38}" name="xGp90 This Season" dataDxfId="370"/>
    <tableColumn id="9" xr3:uid="{34411F63-B2DE-45F5-ACC8-B0F5A2B50A08}" name="xAp90 This Season" dataDxfId="369"/>
    <tableColumn id="10" xr3:uid="{8DFD27C4-4D04-45EE-9D01-D17B7219F65D}" name="CSp90 This Season" dataDxfId="368"/>
    <tableColumn id="13" xr3:uid="{2720C8C0-6BB2-4E30-A0CE-0C2C02BF21DA}" name="60+Mins This Season" dataDxfId="367"/>
    <tableColumn id="14" xr3:uid="{882189C1-C326-40C1-AE3D-3B6C4FC7F38B}" name="Possible 60+Mins This Season" dataDxfId="366"/>
    <tableColumn id="15" xr3:uid="{3F12DC48-7C90-4E0B-AAC9-22E6065324BD}" name="Price" dataDxfId="365"/>
    <tableColumn id="16" xr3:uid="{9412E04D-9665-4079-8822-D16E52BC3A54}" name="Quality" dataDxfId="364">
      <calculatedColumnFormula>BHA[[#This Row],[xPoints Av.]]*BHA[[#This Row],[Regularity]]</calculatedColumnFormula>
    </tableColumn>
    <tableColumn id="17" xr3:uid="{D585FACF-C192-4233-B198-DCE9F856EB6D}" name="Team" dataDxfId="363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362" dataDxfId="361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360"/>
    <tableColumn id="2" xr3:uid="{DB10B7B7-0EDE-4B94-82B4-1E8F4F5D9650}" name="Pos." dataDxfId="359"/>
    <tableColumn id="3" xr3:uid="{25E310C8-F92A-499A-9A18-D4637C552720}" name="xPoints Av." dataDxfId="358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357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356"/>
    <tableColumn id="6" xr3:uid="{0A4DC434-4F38-4081-9B83-B3B3160EDEB2}" name="xAp90 Last Season" dataDxfId="355"/>
    <tableColumn id="7" xr3:uid="{5D10538D-EFFF-4564-921F-6915B4C6D73D}" name="CSp90 Last Season" dataDxfId="354">
      <calculatedColumnFormula>14/(3060/90)</calculatedColumnFormula>
    </tableColumn>
    <tableColumn id="11" xr3:uid="{4E1CC0DC-7CB1-4074-BDE3-827DC94D1102}" name="60+Mins Last Season" dataDxfId="353"/>
    <tableColumn id="12" xr3:uid="{CEFC871C-A6C6-4E3F-9054-187C41EFC978}" name="Possible 60+Mins Last Season" dataDxfId="352"/>
    <tableColumn id="8" xr3:uid="{8B0452BC-B916-4409-B385-2B8E6D9AED4E}" name="xGp90 This Season" dataDxfId="351"/>
    <tableColumn id="9" xr3:uid="{151C1A92-2017-4DF0-997F-4F1479A0AA42}" name="xAp90 This Season" dataDxfId="350"/>
    <tableColumn id="10" xr3:uid="{6B755D55-B738-4510-95C8-27C5BC119163}" name="CSp90 This Season" dataDxfId="349"/>
    <tableColumn id="13" xr3:uid="{EE492298-3C3C-4617-915A-EA35D674893C}" name="60+Mins This Season" dataDxfId="348"/>
    <tableColumn id="14" xr3:uid="{D16111BC-5166-4552-8EA7-509C14752F28}" name="Possible 60+Mins This Season" dataDxfId="347"/>
    <tableColumn id="15" xr3:uid="{AF594862-8532-48C7-9EC9-67418A269D3F}" name="Price" dataDxfId="346"/>
    <tableColumn id="16" xr3:uid="{6F3B7733-3783-41D0-A6CD-FC8691CAB169}" name="Quality" dataDxfId="345">
      <calculatedColumnFormula>CHE[[#This Row],[xPoints Av.]]*CHE[[#This Row],[Regularity]]</calculatedColumnFormula>
    </tableColumn>
    <tableColumn id="17" xr3:uid="{D1D3960F-88E9-4289-8797-F7A74B5A7F55}" name="Team" dataDxfId="344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343" dataDxfId="342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341"/>
    <tableColumn id="2" xr3:uid="{70D91094-1A46-4FD3-8A5D-A4659353A44E}" name="Pos." dataDxfId="340"/>
    <tableColumn id="3" xr3:uid="{4D7B5AF2-6FB3-4A2E-958E-BFF98D72F6D4}" name="xPoints Av." dataDxfId="339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338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337"/>
    <tableColumn id="6" xr3:uid="{E11CD661-165A-41F1-BEC1-0FCA90B1EB28}" name="xAp90 Last Season" dataDxfId="336"/>
    <tableColumn id="7" xr3:uid="{49910955-52D3-49B9-AC48-553C3E27B506}" name="CSp90 Last Season" dataDxfId="335"/>
    <tableColumn id="11" xr3:uid="{EEEE2EF0-6157-4F6A-9AAA-0AABD1009CC5}" name="60+Mins Last Season" dataDxfId="334"/>
    <tableColumn id="12" xr3:uid="{8690F6D9-3A44-432E-9590-C1D5C7FB48B2}" name="Possible 60+Mins Last Season" dataDxfId="333"/>
    <tableColumn id="8" xr3:uid="{4CB33ABD-B456-43AB-91D2-F720640E5B9A}" name="xGp90 This Season" dataDxfId="332"/>
    <tableColumn id="9" xr3:uid="{B2A5F8B3-C9CE-47D9-96D0-244BFDB08036}" name="xAp90 This Season" dataDxfId="331"/>
    <tableColumn id="10" xr3:uid="{11895449-D8CE-404A-ADAA-A182759DE152}" name="CSp90 This Season" dataDxfId="330"/>
    <tableColumn id="13" xr3:uid="{30E357FA-4D9F-42D7-B337-5FF3EDB4F295}" name="60+Mins This Season" dataDxfId="329"/>
    <tableColumn id="14" xr3:uid="{73A85E73-1406-4F8C-A181-93B28DDCC386}" name="Possible 60+Mins This Season" dataDxfId="328"/>
    <tableColumn id="15" xr3:uid="{54454009-E52C-46C9-87EA-A723BC9B9401}" name="Price" dataDxfId="327"/>
    <tableColumn id="16" xr3:uid="{8FFF30FC-B517-4DFC-B255-6CA1F1932E12}" name="Quality" dataDxfId="326">
      <calculatedColumnFormula>CRY[[#This Row],[xPoints Av.]]*CRY[[#This Row],[Regularity]]</calculatedColumnFormula>
    </tableColumn>
    <tableColumn id="17" xr3:uid="{6144A659-BE50-4E7F-9786-1E099A511702}" name="Team" dataDxfId="325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324" dataDxfId="323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322"/>
    <tableColumn id="2" xr3:uid="{15AAF4A8-C205-4228-A8CC-F2E0AD567337}" name="Pos." dataDxfId="321"/>
    <tableColumn id="3" xr3:uid="{5363E6EC-BE10-43B8-B3B7-45D5D24BC546}" name="xPoints Av." dataDxfId="320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319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318"/>
    <tableColumn id="6" xr3:uid="{83FEEEFB-B4FA-4C35-ACD3-133790ADB7B0}" name="xAp90 Last Season" dataDxfId="317"/>
    <tableColumn id="7" xr3:uid="{3C6B1062-0970-4FDA-9742-9A3957C366C7}" name="CSp90 Last Season" dataDxfId="316"/>
    <tableColumn id="11" xr3:uid="{B6895A12-7D7F-4A88-B625-EC5AE64FFA13}" name="60+Mins Last Season" dataDxfId="315"/>
    <tableColumn id="12" xr3:uid="{486E1E12-A9DF-4C77-A4DE-8BDFDEF1A1BA}" name="Possible 60+Mins Last Season" dataDxfId="314"/>
    <tableColumn id="8" xr3:uid="{8DD26B95-B295-4D42-9F77-342E65395615}" name="xGp90 This Season" dataDxfId="313"/>
    <tableColumn id="9" xr3:uid="{E8FDF937-F425-4892-8ACA-FEF7F2977FBC}" name="xAp90 This Season" dataDxfId="312"/>
    <tableColumn id="10" xr3:uid="{2C3C935F-FA71-4DE9-A803-491F9746E3A6}" name="CSp90 This Season" dataDxfId="311"/>
    <tableColumn id="13" xr3:uid="{4FF0F5C6-5E90-43C0-A359-7A8931AC85BA}" name="60+Mins This Season" dataDxfId="310"/>
    <tableColumn id="14" xr3:uid="{0B821A1A-72E6-42F7-8CC5-F39F8C901F5E}" name="Possible 60+Mins This Season" dataDxfId="309"/>
    <tableColumn id="15" xr3:uid="{DB49A4C2-FE5B-49D1-8015-D2F6E33864FA}" name="Price" dataDxfId="308"/>
    <tableColumn id="16" xr3:uid="{073C1C81-FAE7-4CCE-8015-372648EC0F3C}" name="Quality" dataDxfId="307">
      <calculatedColumnFormula>EVE[[#This Row],[xPoints Av.]]*EVE[[#This Row],[Regularity]]</calculatedColumnFormula>
    </tableColumn>
    <tableColumn id="17" xr3:uid="{02E28697-06AF-412A-B2C7-8CD02A73A9D1}" name="Team" dataDxfId="306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305" dataDxfId="304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303"/>
    <tableColumn id="2" xr3:uid="{1DEF95F7-7D9E-4E67-B922-3421FE4775DD}" name="Pos." dataDxfId="302"/>
    <tableColumn id="3" xr3:uid="{F8444266-A506-4A74-BCFC-A39BE8DEB53F}" name="xPoints Av." dataDxfId="301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300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299"/>
    <tableColumn id="6" xr3:uid="{6103330C-0973-4F66-97D4-9A80351E1846}" name="xAp90 Last Season" dataDxfId="298"/>
    <tableColumn id="7" xr3:uid="{D0D82FBF-51C3-4A99-9C86-0E3BE40F0EEF}" name="CSp90 Last Season" dataDxfId="297"/>
    <tableColumn id="11" xr3:uid="{4B8A898B-888C-4D86-91DD-836C997D1D97}" name="60+Mins Last Season" dataDxfId="296"/>
    <tableColumn id="12" xr3:uid="{54063E7E-A78B-470E-8EEB-F5150707B6AA}" name="Possible 60+Mins Last Season" dataDxfId="295"/>
    <tableColumn id="8" xr3:uid="{B0A05728-7EEB-47A2-B3A2-F9F029E38AB1}" name="xGp90 This Season" dataDxfId="294"/>
    <tableColumn id="9" xr3:uid="{9E408F2F-7F56-40F0-81C0-B61984868979}" name="xAp90 This Season" dataDxfId="293"/>
    <tableColumn id="10" xr3:uid="{ED43B8D6-78EE-413B-89D0-217D463481AB}" name="CSp90 This Season" dataDxfId="292"/>
    <tableColumn id="13" xr3:uid="{E8EBD7D8-5DDC-4BB4-B91E-78A52B17A566}" name="60+Mins This Season" dataDxfId="291"/>
    <tableColumn id="14" xr3:uid="{747B3D25-483C-4257-B176-1236378E6D5E}" name="Possible 60+Mins This Season" dataDxfId="290"/>
    <tableColumn id="15" xr3:uid="{BAD1FE0B-3BE3-4315-9872-0A2AC9C2C230}" name="Price" dataDxfId="289"/>
    <tableColumn id="16" xr3:uid="{0B1D5F34-5A3E-46C3-B41E-45ADB4E576C5}" name="Quality" dataDxfId="288">
      <calculatedColumnFormula>LEE[[#This Row],[xPoints Av.]]*LEE[[#This Row],[Regularity]]</calculatedColumnFormula>
    </tableColumn>
    <tableColumn id="17" xr3:uid="{C6566557-D8C3-4FFE-B4F9-788DE00295CE}" name="Team" dataDxfId="28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778" dataDxfId="777">
  <autoFilter ref="A1:Q20" xr:uid="{CB6C6531-E38A-4DC1-AB66-F02AFC49A9BC}"/>
  <sortState xmlns:xlrd2="http://schemas.microsoft.com/office/spreadsheetml/2017/richdata2" ref="A2:Q20">
    <sortCondition descending="1" ref="P23:P42"/>
  </sortState>
  <tableColumns count="17">
    <tableColumn id="1" xr3:uid="{B252D2C6-24F9-4CB8-8644-3BF5172E3DAF}" name="Player" dataDxfId="776"/>
    <tableColumn id="2" xr3:uid="{CB4D6B9D-ADD2-4022-A070-9E6063E37CDF}" name="Pos." dataDxfId="775"/>
    <tableColumn id="3" xr3:uid="{0DB5E28A-9BD3-487E-AE93-4F0F16701DEB}" name="xPoints Av." dataDxfId="774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773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772"/>
    <tableColumn id="6" xr3:uid="{A9994646-4F2C-400C-BE74-F8EBCF847044}" name="xAp90 Last Season" dataDxfId="771"/>
    <tableColumn id="7" xr3:uid="{4BC8D510-1700-45D3-A389-ABA79039B7CC}" name="CSp90 Last Season" dataDxfId="770">
      <calculatedColumnFormula>11/(3240/90)</calculatedColumnFormula>
    </tableColumn>
    <tableColumn id="11" xr3:uid="{269B14A1-B9D5-47BF-AF49-64D40EFEC042}" name="60+Mins Last Season" dataDxfId="769"/>
    <tableColumn id="12" xr3:uid="{1C1B0CFE-B8B8-49CD-A547-7D4563311802}" name="Possible 60+Mins Last Season" dataDxfId="768"/>
    <tableColumn id="8" xr3:uid="{F55818A3-081F-4B64-84D1-CB63524D80D0}" name="xGp90 This Season" dataDxfId="767"/>
    <tableColumn id="9" xr3:uid="{4BA115E3-F0EF-4680-AF3A-6C3CB39C1459}" name="xAp90 This Season" dataDxfId="766"/>
    <tableColumn id="10" xr3:uid="{733A0070-1B02-4EDA-B150-DEC0EEF26C51}" name="CSp90 This Season" dataDxfId="765"/>
    <tableColumn id="13" xr3:uid="{170C7819-B5F4-4338-9E4A-E72A91A30D07}" name="60+Mins This Season" dataDxfId="764"/>
    <tableColumn id="14" xr3:uid="{A103591E-717B-4E32-8236-A243B3E543B8}" name="Possible 60+Mins This Season" dataDxfId="763"/>
    <tableColumn id="15" xr3:uid="{280087CE-7FB3-41F6-97A9-BD5E179EBE25}" name="Price" dataDxfId="762"/>
    <tableColumn id="16" xr3:uid="{EE8A7BC0-B6DD-4BD5-8CD6-44C086ED8A63}" name="Quality" dataDxfId="761">
      <calculatedColumnFormula>AVL_27[[#This Row],[xPoints Av.]]*AVL_27[[#This Row],[Regularity]]</calculatedColumnFormula>
    </tableColumn>
    <tableColumn id="17" xr3:uid="{ADC55EAD-37CC-4CC5-B6B7-778920F20716}" name="Team" dataDxfId="760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286" dataDxfId="285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284"/>
    <tableColumn id="2" xr3:uid="{427C79C1-FCA8-415F-AC31-6C7AEDCBCF53}" name="Pos." dataDxfId="283"/>
    <tableColumn id="3" xr3:uid="{CF3076C9-348A-40D4-995C-236D5CCDF4A8}" name="xPoints Av." dataDxfId="282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281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280"/>
    <tableColumn id="6" xr3:uid="{2B29B846-3259-4086-9C3C-56A82FD5EA06}" name="xAp90 Last Season" dataDxfId="279"/>
    <tableColumn id="7" xr3:uid="{9C1A4F26-5059-47D2-AB9C-FDFBF359BA8E}" name="CSp90 Last Season" dataDxfId="278"/>
    <tableColumn id="11" xr3:uid="{C2712396-3D52-40B3-B5C2-6537EF888F8E}" name="60+Mins Last Season" dataDxfId="277"/>
    <tableColumn id="12" xr3:uid="{4B4866EF-4ABC-436C-88A4-DCF950B20ECF}" name="Possible 60+Mins Last Season" dataDxfId="276"/>
    <tableColumn id="8" xr3:uid="{F7BB219C-5B5B-4285-B45F-7BD55E7F572E}" name="xGp90 This Season" dataDxfId="275"/>
    <tableColumn id="9" xr3:uid="{DE1A416A-C17B-4729-A032-9313C98A762E}" name="xAp90 This Season" dataDxfId="274"/>
    <tableColumn id="10" xr3:uid="{56D6C1D2-1173-4630-848E-502BBD92A1EC}" name="CSp90 This Season" dataDxfId="273"/>
    <tableColumn id="13" xr3:uid="{CCC1D7DA-8BBD-4B2B-87B7-7E14B26CC692}" name="60+Mins This Season" dataDxfId="272"/>
    <tableColumn id="14" xr3:uid="{0266E596-5F9C-47A6-8852-E572C32D4337}" name="Possible 60+Mins This Season" dataDxfId="271"/>
    <tableColumn id="15" xr3:uid="{293EB4AB-6A87-4A52-A694-E52641A3F588}" name="Price" dataDxfId="270"/>
    <tableColumn id="16" xr3:uid="{30FD8187-D609-4FCB-9DD6-AA4E65DC731A}" name="Quality" dataDxfId="269">
      <calculatedColumnFormula>LEI[[#This Row],[xPoints Av.]]*LEI[[#This Row],[Regularity]]</calculatedColumnFormula>
    </tableColumn>
    <tableColumn id="17" xr3:uid="{84B37B73-5804-44EB-A222-1B67DB98BB05}" name="Team" dataDxfId="268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267" dataDxfId="266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265"/>
    <tableColumn id="2" xr3:uid="{5F14D6C1-4238-4DD1-842B-A1D4C29C6BD6}" name="Pos." dataDxfId="264"/>
    <tableColumn id="3" xr3:uid="{5BF16B48-D1D0-4DA7-9F90-816B6519CE98}" name="xPoints Av." dataDxfId="263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262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261"/>
    <tableColumn id="6" xr3:uid="{988AEBD4-479E-48AE-AACA-735F4C499917}" name="xAp90 Last Season" dataDxfId="260"/>
    <tableColumn id="7" xr3:uid="{B3129FE0-94F6-4137-B081-DE31AE04E2D4}" name="CSp90 Last Season" dataDxfId="259"/>
    <tableColumn id="11" xr3:uid="{986CCAA2-63BC-4ABE-94F1-1BEE4CFF3B8D}" name="60+Mins Last Season" dataDxfId="258"/>
    <tableColumn id="12" xr3:uid="{C7D3572F-671E-419C-9A3F-95DE753D6FC0}" name="Possible 60+Mins Last Season" dataDxfId="257"/>
    <tableColumn id="8" xr3:uid="{5C34BCFB-E5D0-4701-9F42-03DE95BCCCF7}" name="xGp90 This Season" dataDxfId="256"/>
    <tableColumn id="9" xr3:uid="{10289751-095B-4ACB-82B5-8F5F410BE0A3}" name="xAp90 This Season" dataDxfId="255"/>
    <tableColumn id="10" xr3:uid="{C773D6B3-D55F-4160-BD93-A7B78F41635E}" name="CSp90 This Season" dataDxfId="254"/>
    <tableColumn id="13" xr3:uid="{D0E91BD9-1E81-475E-9CF3-5AFBC571DDAE}" name="60+Mins This Season" dataDxfId="253"/>
    <tableColumn id="14" xr3:uid="{137CBC5D-EC92-4BE8-A7BF-EC850E1E6B49}" name="Possible 60+Mins This Season" dataDxfId="252"/>
    <tableColumn id="15" xr3:uid="{4E9F4235-1D14-4E4C-930D-8541A2D2A1D4}" name="Price" dataDxfId="251"/>
    <tableColumn id="16" xr3:uid="{418B2217-8D46-420E-97D9-D912C0D26400}" name="Quality" dataDxfId="250">
      <calculatedColumnFormula>LIV[[#This Row],[xPoints Av.]]*LIV[[#This Row],[Regularity]]</calculatedColumnFormula>
    </tableColumn>
    <tableColumn id="17" xr3:uid="{05FA62FA-4519-419B-9087-84A056D76A42}" name="Team" dataDxfId="249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248" dataDxfId="247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246"/>
    <tableColumn id="2" xr3:uid="{243B6F4B-9895-4496-B919-B8DFFF0DF9F1}" name="Pos." dataDxfId="245"/>
    <tableColumn id="3" xr3:uid="{242E8E67-1729-4CDF-A3FC-BD9CC60EBFB9}" name="xPoints Av." dataDxfId="244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243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242"/>
    <tableColumn id="6" xr3:uid="{0AD01ADF-71EC-46D3-8BE0-2CF8A57E3012}" name="xAp90 Last Season" dataDxfId="241"/>
    <tableColumn id="7" xr3:uid="{0390368E-5FF5-4772-A368-5CC1F9C68AEF}" name="CSp90 Last Season" dataDxfId="240"/>
    <tableColumn id="11" xr3:uid="{E06CDA8A-8D2B-4A57-91F4-D77663C7E898}" name="60+Mins Last Season" dataDxfId="239"/>
    <tableColumn id="12" xr3:uid="{FAAD8A53-11DF-4C6D-9201-37B98CA01388}" name="Possible 60+Mins Last Season" dataDxfId="238"/>
    <tableColumn id="8" xr3:uid="{72B894C7-6405-42B9-8A39-4929861E29AB}" name="xGp90 This Season" dataDxfId="237"/>
    <tableColumn id="9" xr3:uid="{5EAC3079-E2D9-4AF7-B5E5-92CF86BA204A}" name="xAp90 This Season" dataDxfId="236"/>
    <tableColumn id="10" xr3:uid="{0A21D342-0E4B-4FB3-B132-CFCD8EFAD5F9}" name="CSp90 This Season" dataDxfId="235"/>
    <tableColumn id="13" xr3:uid="{458C737D-DB10-4F3B-B7C5-E76B51DCC03C}" name="60+Mins This Season" dataDxfId="234"/>
    <tableColumn id="14" xr3:uid="{B67D536D-4F76-4A26-A222-A0B66CEA6E9D}" name="Possible 60+Mins This Season" dataDxfId="233"/>
    <tableColumn id="15" xr3:uid="{44A02237-9383-4521-BDDA-EB8292F8D68D}" name="Price" dataDxfId="232"/>
    <tableColumn id="16" xr3:uid="{CCAA1655-A1E9-4E2D-BACC-15357F6BCCA1}" name="Quality" dataDxfId="231">
      <calculatedColumnFormula>MCI[[#This Row],[xPoints Av.]]*MCI[[#This Row],[Regularity]]</calculatedColumnFormula>
    </tableColumn>
    <tableColumn id="17" xr3:uid="{DFC5A321-13EF-4603-B210-D012E8A3AC96}" name="Team" dataDxfId="230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229" dataDxfId="228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227"/>
    <tableColumn id="2" xr3:uid="{8A311C06-74BA-43ED-9EDD-8711716BC5CC}" name="Pos." dataDxfId="226"/>
    <tableColumn id="3" xr3:uid="{82B19ABC-8763-4A23-808A-58149EF42447}" name="xPoints Av." dataDxfId="225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224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223"/>
    <tableColumn id="6" xr3:uid="{715DA80A-9DD7-4618-870C-85235957726D}" name="xAp90 Last Season" dataDxfId="222"/>
    <tableColumn id="7" xr3:uid="{A325A87F-941D-4E1F-9624-E2296140CE14}" name="CSp90 Last Season" dataDxfId="221"/>
    <tableColumn id="11" xr3:uid="{088F9DEF-FC17-455F-B6E7-EC69F73FF085}" name="60+Mins Last Season" dataDxfId="220"/>
    <tableColumn id="12" xr3:uid="{43D0F175-04BD-419B-B3DD-E42C810DE300}" name="Possible 60+Mins Last Season" dataDxfId="219"/>
    <tableColumn id="8" xr3:uid="{AD97237D-2EEC-44E6-A8A6-00BCD507AA4F}" name="xGp90 This Season" dataDxfId="218"/>
    <tableColumn id="9" xr3:uid="{F5309A09-9C1B-4F7B-A293-CE93F92A4507}" name="xAp90 This Season" dataDxfId="217"/>
    <tableColumn id="10" xr3:uid="{4E2FB6C5-7229-4628-B7E2-A3D509F0953D}" name="CSp90 This Season" dataDxfId="216"/>
    <tableColumn id="13" xr3:uid="{59BC430C-FFF6-4310-9D19-B2B1EA513B07}" name="60+Mins This Season" dataDxfId="215"/>
    <tableColumn id="14" xr3:uid="{EB83305C-2DF9-4424-9C1A-2584BEC9D3CD}" name="Possible 60+Mins This Season" dataDxfId="214"/>
    <tableColumn id="15" xr3:uid="{A6511BCD-5F0D-4552-AAEB-4FA17AB71612}" name="Price" dataDxfId="213"/>
    <tableColumn id="16" xr3:uid="{16526511-187A-43C2-8B24-66D8597AC574}" name="Quality" dataDxfId="212">
      <calculatedColumnFormula>MUN[[#This Row],[xPoints Av.]]*MUN[[#This Row],[Regularity]]</calculatedColumnFormula>
    </tableColumn>
    <tableColumn id="17" xr3:uid="{3DBD1437-F20D-4151-AAAE-84841B9FBC0A}" name="Team" dataDxfId="211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210" dataDxfId="209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208"/>
    <tableColumn id="2" xr3:uid="{54A65B1B-9D57-41D3-8950-8AAF0B5F8A01}" name="Pos." dataDxfId="207"/>
    <tableColumn id="3" xr3:uid="{79C4645C-8447-4CBD-A74C-BB29C6717543}" name="xPoints Av." dataDxfId="206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205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204"/>
    <tableColumn id="6" xr3:uid="{2A9C90F2-7953-4B09-A169-D5825AE6647A}" name="xAp90 Last Season" dataDxfId="203"/>
    <tableColumn id="7" xr3:uid="{2BF0A983-AD9B-452D-824A-86F6FC443DD4}" name="CSp90 Last Season" dataDxfId="202"/>
    <tableColumn id="11" xr3:uid="{4D33A9B8-6267-4F78-AC99-ECF4EDDE5084}" name="60+Mins Last Season" dataDxfId="201"/>
    <tableColumn id="12" xr3:uid="{CA08DA7F-226D-4438-BF02-99CB1AF9DEF0}" name="Possible 60+Mins Last Season" dataDxfId="200"/>
    <tableColumn id="8" xr3:uid="{27EB1EF6-820C-4C31-8369-CAAEA79CF5E8}" name="xGp90 This Season" dataDxfId="199"/>
    <tableColumn id="9" xr3:uid="{17A2C692-98D2-47D9-896E-BEA4A177F2FE}" name="xAp90 This Season" dataDxfId="198"/>
    <tableColumn id="10" xr3:uid="{C2FB4F67-1628-4AE3-BF72-D1E707C4D3CD}" name="CSp90 This Season" dataDxfId="197"/>
    <tableColumn id="13" xr3:uid="{6B7D79EE-FCC6-466C-953D-E924DEBA702E}" name="60+Mins This Season" dataDxfId="196"/>
    <tableColumn id="14" xr3:uid="{A83FF406-9450-4103-99D5-D23359B2C7C1}" name="Possible 60+Mins This Season" dataDxfId="195"/>
    <tableColumn id="15" xr3:uid="{3FE6E6B2-1B09-444E-B157-B511A177C2A4}" name="Price" dataDxfId="194"/>
    <tableColumn id="16" xr3:uid="{70AD4960-D328-428D-BFEF-3691E15DD62E}" name="Quality" dataDxfId="193">
      <calculatedColumnFormula>NEW[[#This Row],[xPoints Av.]]*NEW[[#This Row],[Regularity]]</calculatedColumnFormula>
    </tableColumn>
    <tableColumn id="17" xr3:uid="{DC8FA538-91D8-4C02-AACF-831AD222F20B}" name="Team" dataDxfId="192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191" dataDxfId="190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189"/>
    <tableColumn id="2" xr3:uid="{967CB724-9427-40E7-9DA3-5B887D175D72}" name="Pos." dataDxfId="188"/>
    <tableColumn id="3" xr3:uid="{D077EB53-DA32-4CA0-82B8-65EA4EE7854E}" name="xPoints Av." dataDxfId="187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186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185"/>
    <tableColumn id="6" xr3:uid="{D428EA47-65B3-4399-AED9-618DB7AEF44D}" name="xAp90 Last Season" dataDxfId="184"/>
    <tableColumn id="7" xr3:uid="{3350428A-E558-4BAB-B2C2-74A80E2CE55A}" name="CSp90 Last Season" dataDxfId="183"/>
    <tableColumn id="11" xr3:uid="{F914F015-7432-4AE4-B817-A66BE061A5DD}" name="60+Mins Last Season" dataDxfId="182"/>
    <tableColumn id="12" xr3:uid="{D75410AF-5A10-44E2-8D0B-2B5595D381E7}" name="Possible 60+Mins Last Season" dataDxfId="181"/>
    <tableColumn id="8" xr3:uid="{E4530AD5-8AEF-4ECC-A7F1-BA4EF22586DB}" name="xGp90 This Season" dataDxfId="180"/>
    <tableColumn id="9" xr3:uid="{20DA6988-ED7F-46D0-B18D-06ED895AAC96}" name="xAp90 This Season" dataDxfId="179"/>
    <tableColumn id="10" xr3:uid="{B3B33ED0-E19E-4309-876E-0DF93D7944E6}" name="CSp90 This Season" dataDxfId="178"/>
    <tableColumn id="13" xr3:uid="{81B40A46-5CE2-42C9-8242-39D7040BE942}" name="60+Mins This Season" dataDxfId="177"/>
    <tableColumn id="14" xr3:uid="{B67B5234-9BD8-48F1-8B12-ED162EE60DA0}" name="Possible 60+Mins This Season" dataDxfId="176"/>
    <tableColumn id="15" xr3:uid="{49459686-2568-42D1-918E-42E09AC05564}" name="Price" dataDxfId="175"/>
    <tableColumn id="16" xr3:uid="{5C873F6E-3D91-4C7D-A5B0-8E759B0CEC2C}" name="Quality" dataDxfId="174">
      <calculatedColumnFormula>SOU[[#This Row],[xPoints Av.]]*SOU[[#This Row],[Regularity]]</calculatedColumnFormula>
    </tableColumn>
    <tableColumn id="17" xr3:uid="{5256FE94-F532-479F-8984-2251024424AB}" name="Team" dataDxfId="173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172" dataDxfId="171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170"/>
    <tableColumn id="2" xr3:uid="{7CC52D8C-8D6F-472C-A365-2147B5F495B9}" name="Pos." dataDxfId="169"/>
    <tableColumn id="3" xr3:uid="{5AF21CF6-DE57-4492-BD34-2D83A2656958}" name="xPoints Av." dataDxfId="168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167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166"/>
    <tableColumn id="6" xr3:uid="{3FB61D31-20F2-4EA2-BE28-86DCC68E034C}" name="xAp90 Last Season" dataDxfId="165"/>
    <tableColumn id="7" xr3:uid="{199A1497-BA85-4250-B5DC-3C0B94690BDB}" name="CSp90 Last Season" dataDxfId="164"/>
    <tableColumn id="11" xr3:uid="{296287F2-1402-4F1F-9A37-4D2F0C1E1788}" name="60+Mins Last Season" dataDxfId="163"/>
    <tableColumn id="12" xr3:uid="{8265B6DE-BC65-48A5-9237-51BA74548FF3}" name="Possible 60+Mins Last Season" dataDxfId="162"/>
    <tableColumn id="8" xr3:uid="{AFBDED03-131F-45FF-9828-83445C608D86}" name="xGp90 This Season" dataDxfId="161"/>
    <tableColumn id="9" xr3:uid="{B067F31B-21AE-4F65-8904-C8097FC4E6B3}" name="xAp90 This Season" dataDxfId="160"/>
    <tableColumn id="10" xr3:uid="{E2F3E258-BEFC-4711-9D35-B10AD38C8AEA}" name="CSp90 This Season" dataDxfId="159"/>
    <tableColumn id="13" xr3:uid="{D8D611BB-9675-4DA5-B266-3458A6C72468}" name="60+Mins This Season" dataDxfId="158"/>
    <tableColumn id="14" xr3:uid="{555E6D24-E282-4095-8399-FEFF7E290AB7}" name="Possible 60+Mins This Season" dataDxfId="157"/>
    <tableColumn id="15" xr3:uid="{6C9C29A0-3B76-4373-958B-1636787DDABA}" name="Price" dataDxfId="156"/>
    <tableColumn id="16" xr3:uid="{1FCDC525-1FBF-4A3E-ACBD-2C6623FBD416}" name="Quality" dataDxfId="155">
      <calculatedColumnFormula>TOT[[#This Row],[xPoints Av.]]*TOT[[#This Row],[Regularity]]</calculatedColumnFormula>
    </tableColumn>
    <tableColumn id="17" xr3:uid="{B5E46DF1-B038-47EF-8816-291CFBFC097B}" name="Team" dataDxfId="154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153" dataDxfId="152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151"/>
    <tableColumn id="2" xr3:uid="{D102C475-A108-4A94-82E7-3B1D3EC03835}" name="Pos." dataDxfId="150"/>
    <tableColumn id="3" xr3:uid="{6F9B125B-AB1D-4687-B8C2-622A1243F8C5}" name="xPoints Av." dataDxfId="149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148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147"/>
    <tableColumn id="6" xr3:uid="{93D59C3A-1472-49B6-9AEC-D2B8E774631E}" name="xAp90 Last Season" dataDxfId="146"/>
    <tableColumn id="7" xr3:uid="{7E8DEB38-AD7F-4BE4-8535-C5CFF9C0C7D6}" name="CSp90 Last Season" dataDxfId="145"/>
    <tableColumn id="11" xr3:uid="{182E5788-5662-4A9E-B898-C1DA9DDCB87B}" name="60+Mins Last Season" dataDxfId="144"/>
    <tableColumn id="12" xr3:uid="{C5FD384F-CA18-45BD-91EF-BDA940B1AB4D}" name="Possible 60+Mins Last Season" dataDxfId="143"/>
    <tableColumn id="8" xr3:uid="{B65231BF-264A-498A-803F-F08B82ACBE8E}" name="xGp90 This Season" dataDxfId="142"/>
    <tableColumn id="9" xr3:uid="{E4CC7933-7B88-4329-A8DD-56AC85A284F7}" name="xAp90 This Season" dataDxfId="141"/>
    <tableColumn id="10" xr3:uid="{4D7292AB-263B-4C2C-8F77-82B3BD0088DE}" name="CSp90 This Season" dataDxfId="140"/>
    <tableColumn id="13" xr3:uid="{5BE6550E-0521-4CD8-A62B-71C2D23B9C5B}" name="60+Mins This Season" dataDxfId="139"/>
    <tableColumn id="14" xr3:uid="{23153DC8-3617-42B0-9A72-D9F4CFB0C56B}" name="Possible 60+Mins This Season" dataDxfId="138"/>
    <tableColumn id="15" xr3:uid="{8B2300B5-9DE8-4BF0-BDDC-7E681EE64CBE}" name="Price" dataDxfId="137"/>
    <tableColumn id="16" xr3:uid="{7A08B839-3948-40C6-BB4A-5E3CC66BE881}" name="Quality" dataDxfId="136">
      <calculatedColumnFormula>WHU[[#This Row],[xPoints Av.]]*WHU[[#This Row],[Regularity]]</calculatedColumnFormula>
    </tableColumn>
    <tableColumn id="17" xr3:uid="{1359F627-680A-48E3-887A-CBBC4F745120}" name="Team" dataDxfId="135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134" dataDxfId="133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132"/>
    <tableColumn id="2" xr3:uid="{3EF4C3C4-B8CC-430C-A9A0-B1CB48C812C3}" name="Pos." dataDxfId="131"/>
    <tableColumn id="3" xr3:uid="{6CEEE699-3AB6-424C-8ABE-CC32BF566E52}" name="xPoints Av." dataDxfId="130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129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128"/>
    <tableColumn id="6" xr3:uid="{5BBDA334-18B4-4838-A5C6-84988BD82F45}" name="xAp90 Last Season" dataDxfId="127"/>
    <tableColumn id="7" xr3:uid="{A7373802-F43B-45E7-BBB9-2FAB7B44B301}" name="CSp90 Last Season" dataDxfId="126"/>
    <tableColumn id="11" xr3:uid="{6879DEEB-B9D7-4F27-8513-627C89E30182}" name="60+Mins Last Season" dataDxfId="125"/>
    <tableColumn id="12" xr3:uid="{33C3ADCF-8969-4527-860C-4B88410E2DBA}" name="Possible 60+Mins Last Season" dataDxfId="124"/>
    <tableColumn id="8" xr3:uid="{8714A637-389D-4036-96AE-2F150E743807}" name="xGp90 This Season" dataDxfId="123"/>
    <tableColumn id="9" xr3:uid="{45E1DF51-99C1-4FCA-B1E0-2C1563DD1DD8}" name="xAp90 This Season" dataDxfId="122"/>
    <tableColumn id="10" xr3:uid="{C16A0AD0-7E2F-4397-B841-DD8C243C5785}" name="CSp90 This Season" dataDxfId="121"/>
    <tableColumn id="13" xr3:uid="{A6AAE84F-531D-4B5F-A24A-425CD68A3B4D}" name="60+Mins This Season" dataDxfId="120"/>
    <tableColumn id="14" xr3:uid="{BDC10834-ABF6-4458-A9F4-13825AF428E3}" name="Possible 60+Mins This Season" dataDxfId="119"/>
    <tableColumn id="15" xr3:uid="{0A3048A2-4AFE-4457-8214-A70F6E2F038A}" name="Price" dataDxfId="118"/>
    <tableColumn id="16" xr3:uid="{789C31FF-ACB7-44DA-A91A-66B84C507566}" name="Quality" dataDxfId="117">
      <calculatedColumnFormula>WOL[[#This Row],[xPoints Av.]]*WOL[[#This Row],[Regularity]]</calculatedColumnFormula>
    </tableColumn>
    <tableColumn id="17" xr3:uid="{DBE3538F-3C60-4283-B044-D730FC699CE6}" name="Team" dataDxfId="116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115" dataDxfId="114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113"/>
    <tableColumn id="2" xr3:uid="{D1B3A6AD-7B20-4392-AFBF-06B4C3D8939D}" name="Pos." dataDxfId="112"/>
    <tableColumn id="5" xr3:uid="{74ECF4FC-8A38-40D8-8BDC-4CAB688E2ECC}" name="xPoints Scaled" dataDxfId="111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110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109">
      <calculatedColumnFormula>(BOU[[#This Row],[60+Mins This Season]]/BOU[[#This Row],[Possible 60+Mins This Season]])</calculatedColumnFormula>
    </tableColumn>
    <tableColumn id="8" xr3:uid="{C8D2F795-9999-47CA-9FC0-60CDE27D7F72}" name="xGp90 This Season" dataDxfId="108"/>
    <tableColumn id="9" xr3:uid="{C0BD0381-DFFE-41DF-BE98-857D2A9472D5}" name="xAp90 This Season" dataDxfId="107"/>
    <tableColumn id="10" xr3:uid="{E896A5FB-4F3B-4F3C-A3FF-68374DE4265F}" name="CSp90 This Season" dataDxfId="106"/>
    <tableColumn id="13" xr3:uid="{612D8CC3-752C-449D-BD82-3D7ED1FB2BDB}" name="60+Mins This Season" dataDxfId="105"/>
    <tableColumn id="14" xr3:uid="{46A885F1-1B7E-4C44-ACCB-D997EDE8E50D}" name="Possible 60+Mins This Season" dataDxfId="104"/>
    <tableColumn id="15" xr3:uid="{005B4015-C885-4591-BEDA-F1FF89B8C19B}" name="Price" dataDxfId="103"/>
    <tableColumn id="16" xr3:uid="{61E0527D-5910-4A3B-BE53-EF3745D1934A}" name="Quality" dataDxfId="102">
      <calculatedColumnFormula>BOU[[#This Row],[xPoints Scaled]]*BOU[[#This Row],[Regularity]]</calculatedColumnFormula>
    </tableColumn>
    <tableColumn id="17" xr3:uid="{3B1895A1-E055-4979-89ED-F7F0B08453AA}" name="Team" dataDxfId="10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7" totalsRowShown="0" headerRowDxfId="759" dataDxfId="758">
  <autoFilter ref="A1:Q17" xr:uid="{F8FAC818-6A42-4E03-9F86-44158E52FEE1}"/>
  <sortState xmlns:xlrd2="http://schemas.microsoft.com/office/spreadsheetml/2017/richdata2" ref="A2:Q17">
    <sortCondition descending="1" ref="P43:P59"/>
  </sortState>
  <tableColumns count="17">
    <tableColumn id="1" xr3:uid="{0D58A752-471D-4C03-930B-EFE96F8D49ED}" name="Player" dataDxfId="757"/>
    <tableColumn id="2" xr3:uid="{17B5D3BF-7868-4B47-AEF4-6131D621F6A8}" name="Pos." dataDxfId="756"/>
    <tableColumn id="3" xr3:uid="{733F213E-5CFA-4B75-B369-DB6BC3EF50D2}" name="xPoints Av." dataDxfId="755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754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753"/>
    <tableColumn id="6" xr3:uid="{946437DA-3108-45AE-96A8-D21FC52157A6}" name="xAp90 Last Season" dataDxfId="752"/>
    <tableColumn id="7" xr3:uid="{EFFDC2C9-D92A-414A-B922-B0BBD4203026}" name="CSp90 Last Season" dataDxfId="751">
      <calculatedColumnFormula>8/(2160/90)</calculatedColumnFormula>
    </tableColumn>
    <tableColumn id="11" xr3:uid="{79DB8732-D5F9-4D59-8BD0-14ACF4757100}" name="60+Mins Last Season" dataDxfId="750"/>
    <tableColumn id="12" xr3:uid="{AD5BAE83-9A02-49D7-BA29-444539627E45}" name="Possible 60+Mins Last Season" dataDxfId="749"/>
    <tableColumn id="8" xr3:uid="{65087BCC-34D0-4AC4-BBBE-DB92A3BC71F3}" name="xGp90 This Season" dataDxfId="748"/>
    <tableColumn id="9" xr3:uid="{C0AB88E6-1119-42F6-9120-F122A9A0DDD4}" name="xAp90 This Season" dataDxfId="747"/>
    <tableColumn id="10" xr3:uid="{928DEBC8-D03B-4026-932B-BA97C6776081}" name="CSp90 This Season" dataDxfId="746"/>
    <tableColumn id="13" xr3:uid="{3EE15295-1FAF-4F89-8776-DD13DDF8783B}" name="60+Mins This Season" dataDxfId="745"/>
    <tableColumn id="14" xr3:uid="{7F5AE3A9-282F-4D5D-8907-ECF04C333DE2}" name="Possible 60+Mins This Season" dataDxfId="744"/>
    <tableColumn id="15" xr3:uid="{5BB1290E-48E2-431C-B3D0-28215890AED1}" name="Price" dataDxfId="12"/>
    <tableColumn id="16" xr3:uid="{D16D1FBF-9A45-47F1-9A50-DE6343442B9A}" name="Quality" dataDxfId="743">
      <calculatedColumnFormula>BRE_28[[#This Row],[xPoints Av.]]*BRE_28[[#This Row],[Regularity]]</calculatedColumnFormula>
    </tableColumn>
    <tableColumn id="17" xr3:uid="{1786170F-1653-4535-A8A5-45FDA3E714D6}" name="Team" dataDxfId="742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100" dataDxfId="99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98"/>
    <tableColumn id="2" xr3:uid="{86311A6F-7193-4C34-A37F-1DD6411DCF45}" name="Pos." dataDxfId="97"/>
    <tableColumn id="5" xr3:uid="{DFA8837F-8584-48D6-8537-8202A07709AD}" name="xPoints Scaled" dataDxfId="96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95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94">
      <calculatedColumnFormula>(FUL[[#This Row],[60+Mins This Season]]/FUL[[#This Row],[Possible 60+Mins This Season]])</calculatedColumnFormula>
    </tableColumn>
    <tableColumn id="8" xr3:uid="{9D92B048-8638-4577-8F50-43F80B9C992E}" name="xGp90 This Season" dataDxfId="93"/>
    <tableColumn id="9" xr3:uid="{F9C8C412-B7F6-4F28-B1E8-CDF45DD708DD}" name="xAp90 This Season" dataDxfId="92"/>
    <tableColumn id="10" xr3:uid="{24528A9F-FECC-44AE-ACC0-4A7C13975FA0}" name="CSp90 This Season" dataDxfId="91"/>
    <tableColumn id="13" xr3:uid="{19CE0816-E2DA-4C53-AFF4-5559D7215CE4}" name="60+Mins This Season" dataDxfId="90"/>
    <tableColumn id="14" xr3:uid="{4DB51F6D-74AF-4790-910B-F3995246D15B}" name="Possible 60+Mins This Season" dataDxfId="89"/>
    <tableColumn id="15" xr3:uid="{18733881-E98E-4352-B76B-29BDD898D9FB}" name="Price" dataDxfId="88"/>
    <tableColumn id="16" xr3:uid="{CE703184-7965-4CC2-A6F9-FD5D3B8D987E}" name="Quality" dataDxfId="87">
      <calculatedColumnFormula>FUL[[#This Row],[xPoints Scaled]]*FUL[[#This Row],[Regularity]]</calculatedColumnFormula>
    </tableColumn>
    <tableColumn id="17" xr3:uid="{D92760CC-5CA3-462F-9318-15E39D6CA3C0}" name="Team" dataDxfId="86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85" dataDxfId="84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83"/>
    <tableColumn id="2" xr3:uid="{FFD644EE-E088-4E73-8F59-A5590B9198D1}" name="Pos." dataDxfId="82"/>
    <tableColumn id="5" xr3:uid="{1734AD58-363C-4330-BEA5-AE911085095F}" name="xPoints Scaled" dataDxfId="81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80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79">
      <calculatedColumnFormula>(FOR[[#This Row],[60+Mins This Season]]/FOR[[#This Row],[Possible 60+Mins This Season]])</calculatedColumnFormula>
    </tableColumn>
    <tableColumn id="8" xr3:uid="{055ADCDB-A3A5-467F-BA38-7E20736D3AE8}" name="xGp90 This Season" dataDxfId="78"/>
    <tableColumn id="9" xr3:uid="{D88DE73B-E1C3-44E7-9539-943AB12E8FFF}" name="xAp90 This Season" dataDxfId="77"/>
    <tableColumn id="10" xr3:uid="{A3096974-9EB6-4101-B2F3-9A4035CF6865}" name="CSp90 This Season" dataDxfId="76"/>
    <tableColumn id="13" xr3:uid="{7C4D0772-B3A5-442A-B96B-06F479B9570C}" name="60+Mins This Season" dataDxfId="75"/>
    <tableColumn id="14" xr3:uid="{05826707-F0D4-4812-97BA-C7A6B950042A}" name="Possible 60+Mins This Season" dataDxfId="74"/>
    <tableColumn id="15" xr3:uid="{9D3DDF44-A2D8-43D8-B28A-E35E473FEB55}" name="Price" dataDxfId="73"/>
    <tableColumn id="16" xr3:uid="{04C6904B-63D1-4091-93ED-56589B7EB1D3}" name="Quality" dataDxfId="72">
      <calculatedColumnFormula>FOR[[#This Row],[xPoints Scaled]]*FOR[[#This Row],[Regularity]]</calculatedColumnFormula>
    </tableColumn>
    <tableColumn id="17" xr3:uid="{AE9AD11B-5814-4F6B-82C6-01FBDE6EA3A7}" name="Team" dataDxfId="71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70" dataDxfId="69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68"/>
    <tableColumn id="2" xr3:uid="{BE8FE47F-1B99-4107-8B75-3689A6E1D8F9}" name="Attacking Quality" dataDxfId="67">
      <calculatedColumnFormula>Teams[[#This Row],[Raw Attack]]/MAX(Teams[Raw Attack])</calculatedColumnFormula>
    </tableColumn>
    <tableColumn id="3" xr3:uid="{4AFC533B-2558-478A-830F-546DC31A3007}" name="Defensive Quality" dataDxfId="66">
      <calculatedColumnFormula>1/(Teams[[#This Row],[Raw Defence]]/MIN(Teams[Raw Defence]))</calculatedColumnFormula>
    </tableColumn>
    <tableColumn id="4" xr3:uid="{67D6F50A-DB18-43A3-8DD4-7899AFEB22BA}" name="Goals Last Season" dataDxfId="65"/>
    <tableColumn id="5" xr3:uid="{AE3BB789-CF49-4B73-971B-5F23046EFFAB}" name="Goals This Season" dataDxfId="64"/>
    <tableColumn id="6" xr3:uid="{AAD7731D-67F5-4778-928E-995C66784064}" name="Goals Conceded Last Season" dataDxfId="63"/>
    <tableColumn id="7" xr3:uid="{94520338-3660-4A3A-A3F8-F9D55E6B2F89}" name="Goals Conceded This Season" dataDxfId="62"/>
    <tableColumn id="9" xr3:uid="{C5D34CB4-0422-449E-80FF-D13CF0BA3DC9}" name="Promoted" dataDxfId="61"/>
    <tableColumn id="10" xr3:uid="{916ECDE6-E84C-4314-9F7D-01523495B5F0}" name="Raw Attack" dataDxfId="60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59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58" dataDxfId="57">
  <autoFilter ref="A1:U39" xr:uid="{0D3CF45C-43F3-4E42-B087-78015939E0D4}"/>
  <tableColumns count="21">
    <tableColumn id="1" xr3:uid="{2C10DA4C-4087-4832-83D5-C1FB97695CC8}" name="GW" dataDxfId="56"/>
    <tableColumn id="2" xr3:uid="{F3465176-B5F8-4AD8-A761-C16690922848}" name="MCI" dataDxfId="55"/>
    <tableColumn id="3" xr3:uid="{C976437E-5DC5-47C7-AF54-C44763F7B705}" name="LIV" dataDxfId="54"/>
    <tableColumn id="4" xr3:uid="{B4C52063-DE7A-46BA-A711-C312BDCE13BD}" name="CHE" dataDxfId="53"/>
    <tableColumn id="5" xr3:uid="{2B9527A2-2F58-487F-8E43-20D7C03C18C3}" name="TOT" dataDxfId="52"/>
    <tableColumn id="6" xr3:uid="{42B0BD51-714E-43B4-A9FD-64A2498109DB}" name="ARS" dataDxfId="51"/>
    <tableColumn id="7" xr3:uid="{EDCBC303-CF51-4C29-8A23-A221F14884C7}" name="MUN" dataDxfId="50"/>
    <tableColumn id="8" xr3:uid="{4CF42C0E-836E-423C-88CA-A81AD7E401BA}" name="WHU" dataDxfId="49"/>
    <tableColumn id="9" xr3:uid="{C4519DAF-25FA-45E1-AD95-634CC7C4EF8C}" name="LEI" dataDxfId="48"/>
    <tableColumn id="10" xr3:uid="{7D3A6130-1818-4724-83C7-ECC36B5D3D0E}" name="BHA" dataDxfId="47"/>
    <tableColumn id="11" xr3:uid="{B5834740-EA40-4570-B9C4-8E7D4E9B8A17}" name="WOL" dataDxfId="46"/>
    <tableColumn id="12" xr3:uid="{074BCB2A-7631-4C54-975F-F293DE986CA6}" name="NEW" dataDxfId="45"/>
    <tableColumn id="13" xr3:uid="{3DBF4A53-81D6-413E-A7B6-4EF4B6E2D9A8}" name="CRY" dataDxfId="44"/>
    <tableColumn id="14" xr3:uid="{64739689-6CE1-4EF3-A107-7EFA99A2703E}" name="BRE" dataDxfId="43"/>
    <tableColumn id="15" xr3:uid="{7240C7B8-0861-474C-95FB-EAD618D3B90A}" name="AVL" dataDxfId="42"/>
    <tableColumn id="16" xr3:uid="{04113131-4E7F-49D7-B105-7B76A04D3965}" name="SOU" dataDxfId="41"/>
    <tableColumn id="17" xr3:uid="{8964C738-4FAF-48B2-9078-B05BAB00EE40}" name="EVE" dataDxfId="40"/>
    <tableColumn id="18" xr3:uid="{71377ED9-AB38-4F31-8351-34CB79AE6FB9}" name="LEE" dataDxfId="39"/>
    <tableColumn id="19" xr3:uid="{0187EE07-E393-436F-8A2C-E625615FA992}" name="FUL" dataDxfId="38"/>
    <tableColumn id="20" xr3:uid="{8F542E58-7840-4163-9EC3-EE2EDE3688C8}" name="BOU" dataDxfId="37"/>
    <tableColumn id="21" xr3:uid="{74DD2A47-17E5-47C8-B4F7-EC812ADE3EC4}" name="FOR" dataDxfId="36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35" dataDxfId="34">
  <autoFilter ref="A1:U39" xr:uid="{0D3CF45C-43F3-4E42-B087-78015939E0D4}"/>
  <tableColumns count="21">
    <tableColumn id="1" xr3:uid="{782041C3-E1F7-4C77-89D2-4A8E66BF34A4}" name="GW" dataDxfId="33"/>
    <tableColumn id="2" xr3:uid="{37F195AF-2337-4DA9-AD1B-5B5B231DC4A2}" name="MCI" dataDxfId="32"/>
    <tableColumn id="3" xr3:uid="{1D761EBC-4EBD-473B-B3A4-0F29D5FAD9F0}" name="LIV" dataDxfId="31"/>
    <tableColumn id="4" xr3:uid="{F0C61389-550E-4B9C-8E6C-E93B764EE8C0}" name="CHE" dataDxfId="30"/>
    <tableColumn id="5" xr3:uid="{1C254DB8-F1B7-4E29-8778-9C9B9B168924}" name="TOT" dataDxfId="29"/>
    <tableColumn id="6" xr3:uid="{7C0AE5D1-48A3-4592-A1A4-C585262CD785}" name="ARS" dataDxfId="28"/>
    <tableColumn id="7" xr3:uid="{30CC5712-84ED-4C89-BFFC-B83EF069F477}" name="MUN" dataDxfId="27"/>
    <tableColumn id="8" xr3:uid="{D8DD8D28-10D2-4437-B6EA-EFFF25C04FF8}" name="WHU" dataDxfId="26"/>
    <tableColumn id="9" xr3:uid="{3BA8CA40-DAC4-4705-B720-11BE6F659C1B}" name="LEI" dataDxfId="25"/>
    <tableColumn id="10" xr3:uid="{E55A19A2-DD83-46D9-A419-F28FDDD7D4FB}" name="BHA" dataDxfId="24"/>
    <tableColumn id="11" xr3:uid="{4480384A-8D40-4811-B5F4-E0EFDDB4E779}" name="WOL" dataDxfId="23"/>
    <tableColumn id="12" xr3:uid="{B5BC0C1E-4D3B-4005-83D1-24425897B073}" name="NEW" dataDxfId="22"/>
    <tableColumn id="13" xr3:uid="{D86BEE67-853F-4E99-8A1C-E98EFDCB7FB4}" name="CRY" dataDxfId="21"/>
    <tableColumn id="14" xr3:uid="{E8888297-D249-41A5-9404-9D1C2966EB15}" name="BRE" dataDxfId="20"/>
    <tableColumn id="15" xr3:uid="{8B1F8B92-7BA3-4DF0-BFB9-EF9ED59E6FEA}" name="AVL" dataDxfId="19"/>
    <tableColumn id="16" xr3:uid="{0726DDF3-9636-4592-99F7-263895312789}" name="SOU" dataDxfId="18"/>
    <tableColumn id="17" xr3:uid="{EDF1BD3F-2EEC-4899-874B-FEB32779A7EB}" name="EVE" dataDxfId="17"/>
    <tableColumn id="18" xr3:uid="{6DEB2BF9-51C7-42BF-8F0B-DD837FF7C4C0}" name="LEE" dataDxfId="16"/>
    <tableColumn id="19" xr3:uid="{821ADB62-9321-47CB-BAD2-82416D34A4FA}" name="FUL" dataDxfId="15"/>
    <tableColumn id="20" xr3:uid="{47AB53C6-0329-43C9-BDD8-BF943902098A}" name="BOU" dataDxfId="14"/>
    <tableColumn id="21" xr3:uid="{8C4BE3AD-1706-4AFD-BC21-7F6BF724C2F3}" name="FOR" dataDxfId="13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7" totalsRowShown="0" headerRowDxfId="741" dataDxfId="740">
  <autoFilter ref="A1:Q17" xr:uid="{E5BF9FF6-CFC6-4EC1-AFEE-6E9F1673DC9C}"/>
  <sortState xmlns:xlrd2="http://schemas.microsoft.com/office/spreadsheetml/2017/richdata2" ref="A2:Q17">
    <sortCondition descending="1" ref="P64:P80"/>
  </sortState>
  <tableColumns count="17">
    <tableColumn id="1" xr3:uid="{33741D17-AE86-4F0F-A94A-82ADE3426B7B}" name="Player" dataDxfId="739"/>
    <tableColumn id="2" xr3:uid="{009815AD-11E4-416B-8882-F71E530F13D3}" name="Pos." dataDxfId="738"/>
    <tableColumn id="3" xr3:uid="{19B66827-578B-40E9-B817-F943D9AEB0BD}" name="xPoints Av." dataDxfId="737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736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735"/>
    <tableColumn id="6" xr3:uid="{DC8B688F-8955-45ED-A7DC-9E7CDA2F3DE4}" name="xAp90 Last Season" dataDxfId="734"/>
    <tableColumn id="7" xr3:uid="{6E5D0EEA-C0D7-42AA-9F28-F9E159B5B0E7}" name="CSp90 Last Season" dataDxfId="733">
      <calculatedColumnFormula>11/(3330/90)</calculatedColumnFormula>
    </tableColumn>
    <tableColumn id="11" xr3:uid="{EE254D8C-EF9C-4B73-8A7A-CC15DBBD2403}" name="60+Mins Last Season" dataDxfId="732"/>
    <tableColumn id="12" xr3:uid="{7409B38B-5CC8-435A-93DE-9AE64D698929}" name="Possible 60+Mins Last Season" dataDxfId="731"/>
    <tableColumn id="8" xr3:uid="{E37D42B3-D052-4642-AE58-62D4AF99A5E3}" name="xGp90 This Season" dataDxfId="730"/>
    <tableColumn id="9" xr3:uid="{E293C5EE-2407-43B4-972F-8C8F2E748DBA}" name="xAp90 This Season" dataDxfId="729"/>
    <tableColumn id="10" xr3:uid="{70CC5CA5-AAC4-4EAE-AD8C-59FD5A87F1F9}" name="CSp90 This Season" dataDxfId="728"/>
    <tableColumn id="13" xr3:uid="{BC4FB108-DC69-42ED-9C99-4AA44947EF1B}" name="60+Mins This Season" dataDxfId="727"/>
    <tableColumn id="14" xr3:uid="{DC37598B-A644-4127-BA07-E4D8C3387908}" name="Possible 60+Mins This Season" dataDxfId="726"/>
    <tableColumn id="15" xr3:uid="{083CA5A3-3C5F-4F1E-A073-7EA5054B7E72}" name="Price" dataDxfId="11"/>
    <tableColumn id="16" xr3:uid="{34887101-050A-4E21-82F4-7340D19B6C25}" name="Quality" dataDxfId="725">
      <calculatedColumnFormula>BHA_29[[#This Row],[xPoints Av.]]*BHA_29[[#This Row],[Regularity]]</calculatedColumnFormula>
    </tableColumn>
    <tableColumn id="17" xr3:uid="{DE24EAB3-A635-4AEC-BE59-A4FB0EC737C2}" name="Team" dataDxfId="724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20" totalsRowShown="0" headerRowDxfId="723" dataDxfId="722">
  <autoFilter ref="A1:M20" xr:uid="{5003F5E6-1D77-45FE-8E5F-EB12D3339F34}"/>
  <sortState xmlns:xlrd2="http://schemas.microsoft.com/office/spreadsheetml/2017/richdata2" ref="A2:M20">
    <sortCondition descending="1" ref="L2:L21"/>
  </sortState>
  <tableColumns count="13">
    <tableColumn id="1" xr3:uid="{793B7566-03BE-4053-BD0C-F757F8BA3B01}" name="Player" dataDxfId="721"/>
    <tableColumn id="2" xr3:uid="{DAD69E85-2157-4CBD-926D-A789EB282E36}" name="Pos." dataDxfId="720"/>
    <tableColumn id="5" xr3:uid="{C059AE74-787A-4904-9383-2A8E5C9CC3FD}" name="xPoints Scaled" dataDxfId="719">
      <calculatedColumnFormula>IF(MAX(GameRecord[GW]) &lt;= 19, BOU_30[[#This Row],[xPoints Av.]] *1.5, BOU_30[[#This Row],[xPoints Av.]])</calculatedColumnFormula>
    </tableColumn>
    <tableColumn id="3" xr3:uid="{20795150-17A6-4E7A-8BF4-F03E77E679EB}" name="xPoints Av." dataDxfId="718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717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716"/>
    <tableColumn id="9" xr3:uid="{425E8C1A-2580-487C-8525-D8C0D49B0539}" name="xAp90 This Season" dataDxfId="715"/>
    <tableColumn id="10" xr3:uid="{3F3B8D42-1DAB-4760-8947-FA851136BB56}" name="CSp90 This Season" dataDxfId="714"/>
    <tableColumn id="13" xr3:uid="{173FBCCE-88EA-42AA-834E-0559E84AC6EF}" name="60+Mins This Season" dataDxfId="713"/>
    <tableColumn id="14" xr3:uid="{A311EAD8-577D-4021-A53D-88ED09AB3129}" name="Possible 60+Mins This Season" dataDxfId="712"/>
    <tableColumn id="15" xr3:uid="{C2DF1112-A2F8-40F8-9AE2-9DEF98DC5A28}" name="Price" dataDxfId="711"/>
    <tableColumn id="16" xr3:uid="{E8F40341-6281-4FCC-8444-A328904F9A83}" name="Quality" dataDxfId="710">
      <calculatedColumnFormula>BOU_30[[#This Row],[xPoints Scaled]]*BOU_30[[#This Row],[Regularity]]</calculatedColumnFormula>
    </tableColumn>
    <tableColumn id="17" xr3:uid="{C95BE1C7-6A2C-4243-92AA-25CA94084EC1}" name="Team" dataDxfId="709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20" totalsRowShown="0" headerRowDxfId="708" dataDxfId="707">
  <autoFilter ref="A1:Q20" xr:uid="{00EEE04C-F316-4584-A984-F9A895FAD12A}"/>
  <sortState xmlns:xlrd2="http://schemas.microsoft.com/office/spreadsheetml/2017/richdata2" ref="A2:Q20">
    <sortCondition descending="1" ref="P83:P102"/>
  </sortState>
  <tableColumns count="17">
    <tableColumn id="1" xr3:uid="{CA1A7108-F2E4-4A92-8883-58DA39C8BBBE}" name="Player" dataDxfId="706"/>
    <tableColumn id="2" xr3:uid="{9C3C2CC0-4AA9-424C-8FAA-04E1C8394132}" name="Pos." dataDxfId="705"/>
    <tableColumn id="3" xr3:uid="{F5DBE033-DAE3-4C62-8A55-B9C2377715BA}" name="xPoints Av." dataDxfId="704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703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702"/>
    <tableColumn id="6" xr3:uid="{A822486A-1A8A-43AA-8B8D-8E78F770F79A}" name="xAp90 Last Season" dataDxfId="701"/>
    <tableColumn id="7" xr3:uid="{7FF51D20-60B5-48F7-95BA-77447E75A09D}" name="CSp90 Last Season" dataDxfId="700">
      <calculatedColumnFormula>14/(3060/90)</calculatedColumnFormula>
    </tableColumn>
    <tableColumn id="11" xr3:uid="{4239D8C5-0CE3-40A0-BAA8-8694C96BBBD1}" name="60+Mins Last Season" dataDxfId="699"/>
    <tableColumn id="12" xr3:uid="{6B559E96-9951-4DA9-B69F-5BE36CC9D2AF}" name="Possible 60+Mins Last Season" dataDxfId="698"/>
    <tableColumn id="8" xr3:uid="{16845267-0379-44BC-9BCD-AED9EE3D572D}" name="xGp90 This Season" dataDxfId="697"/>
    <tableColumn id="9" xr3:uid="{70DEBFAF-9EE8-481A-9D34-94AB5F5139CF}" name="xAp90 This Season" dataDxfId="696"/>
    <tableColumn id="10" xr3:uid="{1B52D9AF-567C-4174-938B-7BB7FD237C2F}" name="CSp90 This Season" dataDxfId="695"/>
    <tableColumn id="13" xr3:uid="{8F36CB54-754D-4B16-8FE2-C854BBA04957}" name="60+Mins This Season" dataDxfId="694"/>
    <tableColumn id="14" xr3:uid="{BC2185F7-E63F-4DBA-A9EA-8371806D8576}" name="Possible 60+Mins This Season" dataDxfId="693"/>
    <tableColumn id="15" xr3:uid="{641AE725-5E12-4494-913A-0B2435AE0A8F}" name="Price" dataDxfId="692"/>
    <tableColumn id="16" xr3:uid="{9EB0DA4E-355C-4D98-A4C4-7BDDEF022D86}" name="Quality" dataDxfId="691">
      <calculatedColumnFormula>CHE_31[[#This Row],[xPoints Av.]]*CHE_31[[#This Row],[Regularity]]</calculatedColumnFormula>
    </tableColumn>
    <tableColumn id="17" xr3:uid="{A87A4DD0-037C-4921-9A95-D7FEC686085D}" name="Team" dataDxfId="690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7" totalsRowShown="0" headerRowDxfId="689" dataDxfId="688">
  <autoFilter ref="A1:Q17" xr:uid="{B1727112-C5B5-4CFD-B6D8-FCC1C9869A8C}"/>
  <sortState xmlns:xlrd2="http://schemas.microsoft.com/office/spreadsheetml/2017/richdata2" ref="A2:Q17">
    <sortCondition descending="1" ref="P105:P121"/>
  </sortState>
  <tableColumns count="17">
    <tableColumn id="1" xr3:uid="{14455DF9-85C2-4823-86FB-8D8A02726006}" name="Player" dataDxfId="687"/>
    <tableColumn id="2" xr3:uid="{C0120AAF-14BD-4D85-8C4E-FA7B41FF9B34}" name="Pos." dataDxfId="686"/>
    <tableColumn id="3" xr3:uid="{C51A2B3B-D6DB-4A5F-B13C-7755800598E6}" name="xPoints Av." dataDxfId="685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684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683"/>
    <tableColumn id="6" xr3:uid="{561A8BF9-DF10-4914-8F34-AD4DB62767C9}" name="xAp90 Last Season" dataDxfId="682"/>
    <tableColumn id="7" xr3:uid="{CD79E2C9-4071-4907-BFAB-73970A14464E}" name="CSp90 Last Season" dataDxfId="681"/>
    <tableColumn id="11" xr3:uid="{968AEBCA-2D73-498A-BF87-4280F7F430CE}" name="60+Mins Last Season" dataDxfId="680"/>
    <tableColumn id="12" xr3:uid="{8DF87B2D-1F80-4962-B603-FDB89DFCB97D}" name="Possible 60+Mins Last Season" dataDxfId="679"/>
    <tableColumn id="8" xr3:uid="{1214BCDF-EBE4-4F99-B0E7-9257E49481A2}" name="xGp90 This Season" dataDxfId="678"/>
    <tableColumn id="9" xr3:uid="{C85363CD-87AF-41DA-B7E3-D0F8972E6012}" name="xAp90 This Season" dataDxfId="677"/>
    <tableColumn id="10" xr3:uid="{62612602-CCA1-46C6-94D8-C1235763E018}" name="CSp90 This Season" dataDxfId="676"/>
    <tableColumn id="13" xr3:uid="{7B9627A2-87C0-4EBC-9121-9DE0B54F588F}" name="60+Mins This Season" dataDxfId="675"/>
    <tableColumn id="14" xr3:uid="{D0F30874-7563-4CBA-9D78-3E99FC1517FE}" name="Possible 60+Mins This Season" dataDxfId="674"/>
    <tableColumn id="15" xr3:uid="{76A0DC62-2E78-46B6-948A-7435B093BBA1}" name="Price" dataDxfId="10"/>
    <tableColumn id="16" xr3:uid="{618666F7-8F3A-4C0E-AA66-9BB3EEBE7D5F}" name="Quality" dataDxfId="673">
      <calculatedColumnFormula>CRY_32[[#This Row],[xPoints Av.]]*CRY_32[[#This Row],[Regularity]]</calculatedColumnFormula>
    </tableColumn>
    <tableColumn id="17" xr3:uid="{021D268F-420C-49B2-8E91-41577D15200F}" name="Team" dataDxfId="672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8" totalsRowShown="0" headerRowDxfId="671" dataDxfId="670">
  <autoFilter ref="A1:Q18" xr:uid="{98757360-4980-4691-8275-19534EFA8A08}"/>
  <sortState xmlns:xlrd2="http://schemas.microsoft.com/office/spreadsheetml/2017/richdata2" ref="A2:Q18">
    <sortCondition descending="1" ref="P124:P141"/>
  </sortState>
  <tableColumns count="17">
    <tableColumn id="1" xr3:uid="{DD392FC9-1248-4EAC-ADB6-421B97D80254}" name="Player" dataDxfId="669"/>
    <tableColumn id="2" xr3:uid="{E2052F0E-DA15-47A3-AED2-80B297901E5C}" name="Pos." dataDxfId="668"/>
    <tableColumn id="3" xr3:uid="{F6A90047-B277-4B48-8E69-8C51A10BE3FE}" name="xPoints Av." dataDxfId="667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666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665"/>
    <tableColumn id="6" xr3:uid="{8E7404F5-932F-413A-B380-DCEF2D1D25F2}" name="xAp90 Last Season" dataDxfId="664"/>
    <tableColumn id="7" xr3:uid="{5285039B-4333-4687-AC92-C7400631EE00}" name="CSp90 Last Season" dataDxfId="663"/>
    <tableColumn id="11" xr3:uid="{96992C08-41D3-443C-893D-AFD798523959}" name="60+Mins Last Season" dataDxfId="662"/>
    <tableColumn id="12" xr3:uid="{7636EB4A-A6BE-406C-BD6A-66FD81BD9978}" name="Possible 60+Mins Last Season" dataDxfId="661"/>
    <tableColumn id="8" xr3:uid="{5AEF045E-F442-4BD2-A030-E545F1F6CBA7}" name="xGp90 This Season" dataDxfId="660"/>
    <tableColumn id="9" xr3:uid="{98EBDB35-D9DC-4DE5-8352-4703176FE8B1}" name="xAp90 This Season" dataDxfId="659"/>
    <tableColumn id="10" xr3:uid="{BE04B181-9913-4121-B51A-65B603AA12CC}" name="CSp90 This Season" dataDxfId="658"/>
    <tableColumn id="13" xr3:uid="{65BC82E2-5B13-496F-A0C4-8714CF318193}" name="60+Mins This Season" dataDxfId="657"/>
    <tableColumn id="14" xr3:uid="{1DC3BEAB-5E3C-4C3C-9906-8E972638AA22}" name="Possible 60+Mins This Season" dataDxfId="656"/>
    <tableColumn id="15" xr3:uid="{73BEA950-921F-4BAA-A43D-6BB9D423292C}" name="Price" dataDxfId="655"/>
    <tableColumn id="16" xr3:uid="{196E1C83-FD7A-49C8-ABED-20D62461100D}" name="Quality" dataDxfId="654">
      <calculatedColumnFormula>EVE_33[[#This Row],[xPoints Av.]]*EVE_33[[#This Row],[Regularity]]</calculatedColumnFormula>
    </tableColumn>
    <tableColumn id="17" xr3:uid="{ECF1F62B-8A77-4C85-9283-59C1BF267CF1}" name="Team" dataDxfId="65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7"/>
  <sheetViews>
    <sheetView tabSelected="1" workbookViewId="0">
      <selection activeCell="F5" sqref="F5"/>
    </sheetView>
  </sheetViews>
  <sheetFormatPr defaultRowHeight="15" x14ac:dyDescent="0.25"/>
  <cols>
    <col min="1" max="1" width="20.140625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501</v>
      </c>
      <c r="B2" s="11" t="s">
        <v>84</v>
      </c>
      <c r="C2" s="12">
        <f>IF(MAX(GameRecord[GW]) &lt;= 19, NewTransfers[[#This Row],[xPoints Av.]] *3, NewTransfers[[#This Row],[xPoints Av.]])</f>
        <v>6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11</v>
      </c>
      <c r="L2" s="12">
        <f>NewTransfers[[#This Row],[xPoints Scaled]]*NewTransfers[[#This Row],[Regularity]]</f>
        <v>6</v>
      </c>
      <c r="M2" s="11" t="s">
        <v>7</v>
      </c>
    </row>
    <row r="3" spans="1:13" ht="24" x14ac:dyDescent="0.45">
      <c r="A3" s="11" t="s">
        <v>502</v>
      </c>
      <c r="B3" s="11" t="s">
        <v>64</v>
      </c>
      <c r="C3" s="12">
        <f>IF(MAX(GameRecord[GW]) &lt;= 19, NewTransfers[[#This Row],[xPoints Av.]] *2, NewTransfers[[#This Row],[xPoints Av.]])</f>
        <v>4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7</v>
      </c>
      <c r="L3" s="12">
        <f>NewTransfers[[#This Row],[xPoints Scaled]]*NewTransfers[[#This Row],[Regularity]]</f>
        <v>4</v>
      </c>
      <c r="M3" s="11" t="s">
        <v>10</v>
      </c>
    </row>
    <row r="4" spans="1:13" ht="24" x14ac:dyDescent="0.45">
      <c r="A4" s="11" t="s">
        <v>503</v>
      </c>
      <c r="B4" s="11" t="s">
        <v>75</v>
      </c>
      <c r="C4" s="12">
        <f>IF(MAX(GameRecord[GW]) &lt;= 19, NewTransfers[[#This Row],[xPoints Av.]] *1.5, NewTransfers[[#This Row],[xPoints Av.]])</f>
        <v>3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6</v>
      </c>
      <c r="L4" s="12">
        <f>NewTransfers[[#This Row],[xPoints Scaled]]*NewTransfers[[#This Row],[Regularity]]</f>
        <v>3</v>
      </c>
      <c r="M4" s="11" t="s">
        <v>19</v>
      </c>
    </row>
    <row r="5" spans="1:13" ht="24" x14ac:dyDescent="0.45">
      <c r="A5" s="11" t="s">
        <v>504</v>
      </c>
      <c r="B5" s="11" t="s">
        <v>64</v>
      </c>
      <c r="C5" s="12">
        <f>IF(MAX(GameRecord[GW]) &lt;= 19, NewTransfers[[#This Row],[xPoints Av.]] *1.5, NewTransfers[[#This Row],[xPoints Av.]])</f>
        <v>3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NewTransfers[[#This Row],[xPoints Scaled]]*NewTransfers[[#This Row],[Regularity]]</f>
        <v>3</v>
      </c>
      <c r="M5" s="11" t="s">
        <v>19</v>
      </c>
    </row>
    <row r="6" spans="1:13" ht="24" x14ac:dyDescent="0.45">
      <c r="A6" s="11" t="s">
        <v>505</v>
      </c>
      <c r="B6" s="11" t="s">
        <v>62</v>
      </c>
      <c r="C6" s="12">
        <f>IF(MAX(GameRecord[GW]) &lt;= 19, NewTransfers[[#This Row],[xPoints Av.]] *1.5, NewTransfers[[#This Row],[xPoints Av.]])</f>
        <v>3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NewTransfers[[#This Row],[xPoints Scaled]]*NewTransfers[[#This Row],[Regularity]]</f>
        <v>3</v>
      </c>
      <c r="M6" s="11" t="s">
        <v>19</v>
      </c>
    </row>
    <row r="7" spans="1:13" ht="24" x14ac:dyDescent="0.45">
      <c r="A7" s="11" t="s">
        <v>506</v>
      </c>
      <c r="B7" s="11" t="s">
        <v>75</v>
      </c>
      <c r="C7" s="12">
        <f>IF(MAX(GameRecord[GW]) &lt;= 19, NewTransfers[[#This Row],[xPoints Av.]] *1.5, NewTransfers[[#This Row],[xPoints Av.]])</f>
        <v>3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NewTransfers[[#This Row],[xPoints Scaled]]*NewTransfers[[#This Row],[Regularity]]</f>
        <v>3</v>
      </c>
      <c r="M7" s="11" t="s">
        <v>8</v>
      </c>
    </row>
  </sheetData>
  <dataValidations count="1">
    <dataValidation type="list" allowBlank="1" showInputMessage="1" showErrorMessage="1" sqref="B2:B7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20"/>
  <sheetViews>
    <sheetView workbookViewId="0">
      <selection activeCell="K2" sqref="K2:K20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468</v>
      </c>
      <c r="B2" s="11" t="s">
        <v>64</v>
      </c>
      <c r="C2" s="12">
        <f>IF(MAX(GameRecord[GW]) &lt;= 19, FUL_34[[#This Row],[xPoints Av.]] *1.5, FUL_34[[#This Row],[xPoints Av.]])</f>
        <v>3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FUL_34[[#This Row],[xPoints Scaled]]*FUL_34[[#This Row],[Regularity]]</f>
        <v>3</v>
      </c>
      <c r="M2" s="11" t="s">
        <v>23</v>
      </c>
    </row>
    <row r="3" spans="1:13" ht="24" x14ac:dyDescent="0.45">
      <c r="A3" s="11" t="s">
        <v>469</v>
      </c>
      <c r="B3" s="11" t="s">
        <v>84</v>
      </c>
      <c r="C3" s="12">
        <f>IF(MAX(GameRecord[GW]) &lt;= 19, FUL_34[[#This Row],[xPoints Av.]] *1.5, FUL_34[[#This Row],[xPoints Av.]])</f>
        <v>3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FUL_34[[#This Row],[xPoints Scaled]]*FUL_34[[#This Row],[Regularity]]</f>
        <v>3</v>
      </c>
      <c r="M3" s="11" t="s">
        <v>23</v>
      </c>
    </row>
    <row r="4" spans="1:13" ht="24" x14ac:dyDescent="0.45">
      <c r="A4" s="11" t="s">
        <v>470</v>
      </c>
      <c r="B4" s="11" t="s">
        <v>64</v>
      </c>
      <c r="C4" s="12">
        <f>IF(MAX(GameRecord[GW]) &lt;= 19, FUL_34[[#This Row],[xPoints Av.]] *1.5, FUL_34[[#This Row],[xPoints Av.]])</f>
        <v>3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FUL_34[[#This Row],[xPoints Scaled]]*FUL_34[[#This Row],[Regularity]]</f>
        <v>3</v>
      </c>
      <c r="M4" s="11" t="s">
        <v>23</v>
      </c>
    </row>
    <row r="5" spans="1:13" ht="24" x14ac:dyDescent="0.45">
      <c r="A5" s="11" t="s">
        <v>354</v>
      </c>
      <c r="B5" s="11" t="s">
        <v>75</v>
      </c>
      <c r="C5" s="12">
        <f>IF(MAX(GameRecord[GW]) &lt;= 19, FUL_34[[#This Row],[xPoints Av.]] *1.5, FUL_34[[#This Row],[xPoints Av.]])</f>
        <v>3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FUL_34[[#This Row],[xPoints Scaled]]*FUL_34[[#This Row],[Regularity]]</f>
        <v>3</v>
      </c>
      <c r="M5" s="11" t="s">
        <v>23</v>
      </c>
    </row>
    <row r="6" spans="1:13" ht="24" x14ac:dyDescent="0.45">
      <c r="A6" s="11" t="s">
        <v>471</v>
      </c>
      <c r="B6" s="11" t="s">
        <v>64</v>
      </c>
      <c r="C6" s="12">
        <f>IF(MAX(GameRecord[GW]) &lt;= 19, FUL_34[[#This Row],[xPoints Av.]] *1.5, FUL_34[[#This Row],[xPoints Av.]])</f>
        <v>3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FUL_34[[#This Row],[xPoints Scaled]]*FUL_34[[#This Row],[Regularity]]</f>
        <v>3</v>
      </c>
      <c r="M6" s="11" t="s">
        <v>23</v>
      </c>
    </row>
    <row r="7" spans="1:13" ht="24" x14ac:dyDescent="0.45">
      <c r="A7" s="11" t="s">
        <v>472</v>
      </c>
      <c r="B7" s="11" t="s">
        <v>62</v>
      </c>
      <c r="C7" s="12">
        <f>IF(MAX(GameRecord[GW]) &lt;= 19, FUL_34[[#This Row],[xPoints Av.]] *1.5, FUL_34[[#This Row],[xPoints Av.]])</f>
        <v>3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FUL_34[[#This Row],[xPoints Scaled]]*FUL_34[[#This Row],[Regularity]]</f>
        <v>3</v>
      </c>
      <c r="M7" s="11" t="s">
        <v>23</v>
      </c>
    </row>
    <row r="8" spans="1:13" ht="24" x14ac:dyDescent="0.45">
      <c r="A8" s="11" t="s">
        <v>473</v>
      </c>
      <c r="B8" s="11" t="s">
        <v>75</v>
      </c>
      <c r="C8" s="12">
        <f>IF(MAX(GameRecord[GW]) &lt;= 19, FUL_34[[#This Row],[xPoints Av.]] *1.5, FUL_34[[#This Row],[xPoints Av.]])</f>
        <v>3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FUL_34[[#This Row],[xPoints Scaled]]*FUL_34[[#This Row],[Regularity]]</f>
        <v>3</v>
      </c>
      <c r="M8" s="11" t="s">
        <v>23</v>
      </c>
    </row>
    <row r="9" spans="1:13" ht="24" x14ac:dyDescent="0.45">
      <c r="A9" s="11" t="s">
        <v>474</v>
      </c>
      <c r="B9" s="11" t="s">
        <v>75</v>
      </c>
      <c r="C9" s="12">
        <f>IF(MAX(GameRecord[GW]) &lt;= 19, FUL_34[[#This Row],[xPoints Av.]] *1.5, FUL_34[[#This Row],[xPoints Av.]])</f>
        <v>3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</v>
      </c>
      <c r="L9" s="12">
        <f>FUL_34[[#This Row],[xPoints Scaled]]*FUL_34[[#This Row],[Regularity]]</f>
        <v>3</v>
      </c>
      <c r="M9" s="11" t="s">
        <v>23</v>
      </c>
    </row>
    <row r="10" spans="1:13" ht="24" x14ac:dyDescent="0.45">
      <c r="A10" s="11" t="s">
        <v>475</v>
      </c>
      <c r="B10" s="11" t="s">
        <v>75</v>
      </c>
      <c r="C10" s="12">
        <f>IF(MAX(GameRecord[GW]) &lt;= 19, FUL_34[[#This Row],[xPoints Av.]] *1.5, FUL_34[[#This Row],[xPoints Av.]])</f>
        <v>3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FUL_34[[#This Row],[xPoints Scaled]]*FUL_34[[#This Row],[Regularity]]</f>
        <v>3</v>
      </c>
      <c r="M10" s="11" t="s">
        <v>23</v>
      </c>
    </row>
    <row r="11" spans="1:13" ht="24" x14ac:dyDescent="0.45">
      <c r="A11" s="11" t="s">
        <v>476</v>
      </c>
      <c r="B11" s="11" t="s">
        <v>75</v>
      </c>
      <c r="C11" s="12">
        <f>IF(MAX(GameRecord[GW]) &lt;= 19, FUL_34[[#This Row],[xPoints Av.]] *1.5, FUL_34[[#This Row],[xPoints Av.]])</f>
        <v>3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FUL_34[[#This Row],[xPoints Scaled]]*FUL_34[[#This Row],[Regularity]]</f>
        <v>3</v>
      </c>
      <c r="M11" s="11" t="s">
        <v>23</v>
      </c>
    </row>
    <row r="12" spans="1:13" ht="24" x14ac:dyDescent="0.45">
      <c r="A12" s="11" t="s">
        <v>477</v>
      </c>
      <c r="B12" s="11" t="s">
        <v>75</v>
      </c>
      <c r="C12" s="12">
        <f>IF(MAX(GameRecord[GW]) &lt;= 19, FUL_34[[#This Row],[xPoints Av.]] *1.5, FUL_34[[#This Row],[xPoints Av.]])</f>
        <v>3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FUL_34[[#This Row],[xPoints Scaled]]*FUL_34[[#This Row],[Regularity]]</f>
        <v>3</v>
      </c>
      <c r="M12" s="11" t="s">
        <v>23</v>
      </c>
    </row>
    <row r="13" spans="1:13" ht="24" x14ac:dyDescent="0.45">
      <c r="A13" s="11" t="s">
        <v>478</v>
      </c>
      <c r="B13" s="11" t="s">
        <v>64</v>
      </c>
      <c r="C13" s="12">
        <f>IF(MAX(GameRecord[GW]) &lt;= 19, FUL_34[[#This Row],[xPoints Av.]] *1.5, FUL_34[[#This Row],[xPoints Av.]])</f>
        <v>3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FUL_34[[#This Row],[xPoints Scaled]]*FUL_34[[#This Row],[Regularity]]</f>
        <v>3</v>
      </c>
      <c r="M13" s="11" t="s">
        <v>23</v>
      </c>
    </row>
    <row r="14" spans="1:13" ht="24" x14ac:dyDescent="0.45">
      <c r="A14" s="11" t="s">
        <v>479</v>
      </c>
      <c r="B14" s="11" t="s">
        <v>64</v>
      </c>
      <c r="C14" s="12">
        <f>IF(MAX(GameRecord[GW]) &lt;= 19, FUL_34[[#This Row],[xPoints Av.]] *1.5, FUL_34[[#This Row],[xPoints Av.]])</f>
        <v>3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FUL_34[[#This Row],[xPoints Scaled]]*FUL_34[[#This Row],[Regularity]]</f>
        <v>3</v>
      </c>
      <c r="M14" s="11" t="s">
        <v>23</v>
      </c>
    </row>
    <row r="15" spans="1:13" ht="24" x14ac:dyDescent="0.45">
      <c r="A15" s="11" t="s">
        <v>480</v>
      </c>
      <c r="B15" s="11" t="s">
        <v>64</v>
      </c>
      <c r="C15" s="12">
        <f>IF(MAX(GameRecord[GW]) &lt;= 19, FUL_34[[#This Row],[xPoints Av.]] *1.5, FUL_34[[#This Row],[xPoints Av.]])</f>
        <v>3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FUL_34[[#This Row],[xPoints Scaled]]*FUL_34[[#This Row],[Regularity]]</f>
        <v>3</v>
      </c>
      <c r="M15" s="11" t="s">
        <v>23</v>
      </c>
    </row>
    <row r="16" spans="1:13" ht="24" x14ac:dyDescent="0.45">
      <c r="A16" s="11" t="s">
        <v>481</v>
      </c>
      <c r="B16" s="11" t="s">
        <v>62</v>
      </c>
      <c r="C16" s="12">
        <f>IF(MAX(GameRecord[GW]) &lt;= 19, FUL_34[[#This Row],[xPoints Av.]] *1.5, FUL_34[[#This Row],[xPoints Av.]])</f>
        <v>3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FUL_34[[#This Row],[xPoints Scaled]]*FUL_34[[#This Row],[Regularity]]</f>
        <v>3</v>
      </c>
      <c r="M16" s="11" t="s">
        <v>23</v>
      </c>
    </row>
    <row r="17" spans="1:13" ht="24" x14ac:dyDescent="0.45">
      <c r="A17" s="11" t="s">
        <v>482</v>
      </c>
      <c r="B17" s="11" t="s">
        <v>64</v>
      </c>
      <c r="C17" s="12">
        <f>IF(MAX(GameRecord[GW]) &lt;= 19, FUL_34[[#This Row],[xPoints Av.]] *1.5, FUL_34[[#This Row],[xPoints Av.]])</f>
        <v>3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FUL_34[[#This Row],[xPoints Scaled]]*FUL_34[[#This Row],[Regularity]]</f>
        <v>3</v>
      </c>
      <c r="M17" s="11" t="s">
        <v>23</v>
      </c>
    </row>
    <row r="18" spans="1:13" ht="24" x14ac:dyDescent="0.45">
      <c r="A18" s="11" t="s">
        <v>151</v>
      </c>
      <c r="B18" s="11" t="s">
        <v>75</v>
      </c>
      <c r="C18" s="12">
        <f>IF(MAX(GameRecord[GW]) &lt;= 19, FUL_34[[#This Row],[xPoints Av.]] *1.5, FUL_34[[#This Row],[xPoints Av.]])</f>
        <v>3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FUL_34[[#This Row],[xPoints Scaled]]*FUL_34[[#This Row],[Regularity]]</f>
        <v>3</v>
      </c>
      <c r="M18" s="11" t="s">
        <v>23</v>
      </c>
    </row>
    <row r="19" spans="1:13" ht="24" x14ac:dyDescent="0.45">
      <c r="A19" s="11" t="s">
        <v>483</v>
      </c>
      <c r="B19" s="11" t="s">
        <v>75</v>
      </c>
      <c r="C19" s="12">
        <f>IF(MAX(GameRecord[GW]) &lt;= 19, FUL_34[[#This Row],[xPoints Av.]] *1.5, FUL_34[[#This Row],[xPoints Av.]])</f>
        <v>3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FUL_34[[#This Row],[xPoints Scaled]]*FUL_34[[#This Row],[Regularity]]</f>
        <v>3</v>
      </c>
      <c r="M19" s="11" t="s">
        <v>23</v>
      </c>
    </row>
    <row r="20" spans="1:13" ht="24" x14ac:dyDescent="0.45">
      <c r="A20" s="11" t="s">
        <v>484</v>
      </c>
      <c r="B20" s="11" t="s">
        <v>75</v>
      </c>
      <c r="C20" s="12">
        <f>IF(MAX(GameRecord[GW]) &lt;= 19, FUL_34[[#This Row],[xPoints Av.]] *1.5, FUL_34[[#This Row],[xPoints Av.]])</f>
        <v>3</v>
      </c>
      <c r="D2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0" s="12">
        <f>(FUL_34[[#This Row],[60+Mins This Season]]/FUL_34[[#This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4</v>
      </c>
      <c r="L20" s="12">
        <f>FUL_34[[#This Row],[xPoints Scaled]]*FUL_34[[#This Row],[Regularity]]</f>
        <v>3</v>
      </c>
      <c r="M20" s="11" t="s">
        <v>23</v>
      </c>
    </row>
  </sheetData>
  <dataValidations count="1">
    <dataValidation type="list" allowBlank="1" showInputMessage="1" showErrorMessage="1" sqref="B2:B20" xr:uid="{8676B22D-5318-4D52-AE45-8B07A1F03BF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20"/>
  <sheetViews>
    <sheetView workbookViewId="0">
      <selection activeCell="K2" sqref="K2:K20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*1.5, FOR_36[[#This Row],[xPoints Av.]])</f>
        <v>3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FOR_36[[#This Row],[xPoints Scaled]]*FOR_36[[#This Row],[Regularity]]</f>
        <v>3</v>
      </c>
      <c r="M2" s="11" t="s">
        <v>51</v>
      </c>
    </row>
    <row r="3" spans="1:13" ht="24" x14ac:dyDescent="0.45">
      <c r="A3" s="11" t="s">
        <v>403</v>
      </c>
      <c r="B3" s="11" t="s">
        <v>75</v>
      </c>
      <c r="C3" s="12">
        <f>IF(MAX(GameRecord[GW]) &lt;= 19, FOR_36[[#This Row],[xPoints Av.]] *1.5, FOR_36[[#This Row],[xPoints Av.]])</f>
        <v>3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FOR_36[[#This Row],[xPoints Scaled]]*FOR_36[[#This Row],[Regularity]]</f>
        <v>3</v>
      </c>
      <c r="M3" s="11" t="s">
        <v>51</v>
      </c>
    </row>
    <row r="4" spans="1:13" ht="24" x14ac:dyDescent="0.45">
      <c r="A4" s="11" t="s">
        <v>487</v>
      </c>
      <c r="B4" s="11" t="s">
        <v>75</v>
      </c>
      <c r="C4" s="12">
        <f>IF(MAX(GameRecord[GW]) &lt;= 19, FOR_36[[#This Row],[xPoints Av.]] *1.5, FOR_36[[#This Row],[xPoints Av.]])</f>
        <v>3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FOR_36[[#This Row],[xPoints Scaled]]*FOR_36[[#This Row],[Regularity]]</f>
        <v>3</v>
      </c>
      <c r="M4" s="11" t="s">
        <v>51</v>
      </c>
    </row>
    <row r="5" spans="1:13" ht="24" x14ac:dyDescent="0.45">
      <c r="A5" s="11" t="s">
        <v>488</v>
      </c>
      <c r="B5" s="11" t="s">
        <v>62</v>
      </c>
      <c r="C5" s="12">
        <f>IF(MAX(GameRecord[GW]) &lt;= 19, FOR_36[[#This Row],[xPoints Av.]] *1.5, FOR_36[[#This Row],[xPoints Av.]])</f>
        <v>3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FOR_36[[#This Row],[xPoints Scaled]]*FOR_36[[#This Row],[Regularity]]</f>
        <v>3</v>
      </c>
      <c r="M5" s="11" t="s">
        <v>51</v>
      </c>
    </row>
    <row r="6" spans="1:13" ht="24" x14ac:dyDescent="0.45">
      <c r="A6" s="11" t="s">
        <v>489</v>
      </c>
      <c r="B6" s="11" t="s">
        <v>64</v>
      </c>
      <c r="C6" s="12">
        <f>IF(MAX(GameRecord[GW]) &lt;= 19, FOR_36[[#This Row],[xPoints Av.]] *1.5, FOR_36[[#This Row],[xPoints Av.]])</f>
        <v>3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FOR_36[[#This Row],[xPoints Scaled]]*FOR_36[[#This Row],[Regularity]]</f>
        <v>3</v>
      </c>
      <c r="M6" s="11" t="s">
        <v>51</v>
      </c>
    </row>
    <row r="7" spans="1:13" ht="24" x14ac:dyDescent="0.45">
      <c r="A7" s="11" t="s">
        <v>490</v>
      </c>
      <c r="B7" s="11" t="s">
        <v>64</v>
      </c>
      <c r="C7" s="12">
        <f>IF(MAX(GameRecord[GW]) &lt;= 19, FOR_36[[#This Row],[xPoints Av.]] *1.5, FOR_36[[#This Row],[xPoints Av.]])</f>
        <v>3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FOR_36[[#This Row],[xPoints Scaled]]*FOR_36[[#This Row],[Regularity]]</f>
        <v>3</v>
      </c>
      <c r="M7" s="11" t="s">
        <v>51</v>
      </c>
    </row>
    <row r="8" spans="1:13" ht="24" x14ac:dyDescent="0.45">
      <c r="A8" s="11" t="s">
        <v>491</v>
      </c>
      <c r="B8" s="11" t="s">
        <v>75</v>
      </c>
      <c r="C8" s="12">
        <f>IF(MAX(GameRecord[GW]) &lt;= 19, FOR_36[[#This Row],[xPoints Av.]] *1.5, FOR_36[[#This Row],[xPoints Av.]])</f>
        <v>3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FOR_36[[#This Row],[xPoints Scaled]]*FOR_36[[#This Row],[Regularity]]</f>
        <v>3</v>
      </c>
      <c r="M8" s="11" t="s">
        <v>51</v>
      </c>
    </row>
    <row r="9" spans="1:13" ht="24" x14ac:dyDescent="0.45">
      <c r="A9" s="11" t="s">
        <v>492</v>
      </c>
      <c r="B9" s="11" t="s">
        <v>75</v>
      </c>
      <c r="C9" s="12">
        <f>IF(MAX(GameRecord[GW]) &lt;= 19, FOR_36[[#This Row],[xPoints Av.]] *1.5, FOR_36[[#This Row],[xPoints Av.]])</f>
        <v>3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</v>
      </c>
      <c r="L9" s="12">
        <f>FOR_36[[#This Row],[xPoints Scaled]]*FOR_36[[#This Row],[Regularity]]</f>
        <v>3</v>
      </c>
      <c r="M9" s="11" t="s">
        <v>51</v>
      </c>
    </row>
    <row r="10" spans="1:13" ht="24" x14ac:dyDescent="0.45">
      <c r="A10" s="13" t="s">
        <v>493</v>
      </c>
      <c r="B10" s="11" t="s">
        <v>75</v>
      </c>
      <c r="C10" s="12">
        <f>IF(MAX(GameRecord[GW]) &lt;= 19, FOR_36[[#This Row],[xPoints Av.]] *1.5, FOR_36[[#This Row],[xPoints Av.]])</f>
        <v>3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FOR_36[[#This Row],[xPoints Scaled]]*FOR_36[[#This Row],[Regularity]]</f>
        <v>3</v>
      </c>
      <c r="M10" s="11" t="s">
        <v>51</v>
      </c>
    </row>
    <row r="11" spans="1:13" ht="24" x14ac:dyDescent="0.45">
      <c r="A11" s="11" t="s">
        <v>494</v>
      </c>
      <c r="B11" s="11" t="s">
        <v>84</v>
      </c>
      <c r="C11" s="12">
        <f>IF(MAX(GameRecord[GW]) &lt;= 19, FOR_36[[#This Row],[xPoints Av.]] *1.5, FOR_36[[#This Row],[xPoints Av.]])</f>
        <v>3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FOR_36[[#This Row],[xPoints Scaled]]*FOR_36[[#This Row],[Regularity]]</f>
        <v>3</v>
      </c>
      <c r="M11" s="11" t="s">
        <v>51</v>
      </c>
    </row>
    <row r="12" spans="1:13" ht="24" x14ac:dyDescent="0.45">
      <c r="A12" s="11" t="s">
        <v>495</v>
      </c>
      <c r="B12" s="11" t="s">
        <v>64</v>
      </c>
      <c r="C12" s="12">
        <f>IF(MAX(GameRecord[GW]) &lt;= 19, FOR_36[[#This Row],[xPoints Av.]] *1.5, FOR_36[[#This Row],[xPoints Av.]])</f>
        <v>3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FOR_36[[#This Row],[xPoints Scaled]]*FOR_36[[#This Row],[Regularity]]</f>
        <v>3</v>
      </c>
      <c r="M12" s="11" t="s">
        <v>51</v>
      </c>
    </row>
    <row r="13" spans="1:13" ht="24" x14ac:dyDescent="0.45">
      <c r="A13" s="11" t="s">
        <v>461</v>
      </c>
      <c r="B13" s="11" t="s">
        <v>64</v>
      </c>
      <c r="C13" s="12">
        <f>IF(MAX(GameRecord[GW]) &lt;= 19, FOR_36[[#This Row],[xPoints Av.]] *1.5, FOR_36[[#This Row],[xPoints Av.]])</f>
        <v>3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FOR_36[[#This Row],[xPoints Scaled]]*FOR_36[[#This Row],[Regularity]]</f>
        <v>3</v>
      </c>
      <c r="M13" s="11" t="s">
        <v>51</v>
      </c>
    </row>
    <row r="14" spans="1:13" ht="24" x14ac:dyDescent="0.45">
      <c r="A14" s="11" t="s">
        <v>457</v>
      </c>
      <c r="B14" s="11" t="s">
        <v>64</v>
      </c>
      <c r="C14" s="12">
        <f>IF(MAX(GameRecord[GW]) &lt;= 19, FOR_36[[#This Row],[xPoints Av.]] *1.5, FOR_36[[#This Row],[xPoints Av.]])</f>
        <v>3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FOR_36[[#This Row],[xPoints Scaled]]*FOR_36[[#This Row],[Regularity]]</f>
        <v>3</v>
      </c>
      <c r="M14" s="11" t="s">
        <v>51</v>
      </c>
    </row>
    <row r="15" spans="1:13" ht="24" x14ac:dyDescent="0.45">
      <c r="A15" s="11" t="s">
        <v>466</v>
      </c>
      <c r="B15" s="11" t="s">
        <v>84</v>
      </c>
      <c r="C15" s="12">
        <f>IF(MAX(GameRecord[GW]) &lt;= 19, FOR_36[[#This Row],[xPoints Av.]] *1.5, FOR_36[[#This Row],[xPoints Av.]])</f>
        <v>3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FOR_36[[#This Row],[xPoints Scaled]]*FOR_36[[#This Row],[Regularity]]</f>
        <v>3</v>
      </c>
      <c r="M15" s="11" t="s">
        <v>51</v>
      </c>
    </row>
    <row r="16" spans="1:13" ht="24" x14ac:dyDescent="0.45">
      <c r="A16" s="11" t="s">
        <v>496</v>
      </c>
      <c r="B16" s="11" t="s">
        <v>75</v>
      </c>
      <c r="C16" s="12">
        <f>IF(MAX(GameRecord[GW]) &lt;= 19, FOR_36[[#This Row],[xPoints Av.]] *1.5, FOR_36[[#This Row],[xPoints Av.]])</f>
        <v>3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FOR_36[[#This Row],[xPoints Scaled]]*FOR_36[[#This Row],[Regularity]]</f>
        <v>3</v>
      </c>
      <c r="M16" s="11" t="s">
        <v>51</v>
      </c>
    </row>
    <row r="17" spans="1:13" ht="24" x14ac:dyDescent="0.45">
      <c r="A17" s="11" t="s">
        <v>497</v>
      </c>
      <c r="B17" s="11" t="s">
        <v>84</v>
      </c>
      <c r="C17" s="12">
        <f>IF(MAX(GameRecord[GW]) &lt;= 19, FOR_36[[#This Row],[xPoints Av.]] *1.5, FOR_36[[#This Row],[xPoints Av.]])</f>
        <v>3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FOR_36[[#This Row],[xPoints Scaled]]*FOR_36[[#This Row],[Regularity]]</f>
        <v>3</v>
      </c>
      <c r="M17" s="11" t="s">
        <v>51</v>
      </c>
    </row>
    <row r="18" spans="1:13" ht="24" x14ac:dyDescent="0.45">
      <c r="A18" s="11" t="s">
        <v>498</v>
      </c>
      <c r="B18" s="11" t="s">
        <v>75</v>
      </c>
      <c r="C18" s="12">
        <f>IF(MAX(GameRecord[GW]) &lt;= 19, FOR_36[[#This Row],[xPoints Av.]] *1.5, FOR_36[[#This Row],[xPoints Av.]])</f>
        <v>3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FOR_36[[#This Row],[xPoints Scaled]]*FOR_36[[#This Row],[Regularity]]</f>
        <v>3</v>
      </c>
      <c r="M18" s="11" t="s">
        <v>51</v>
      </c>
    </row>
    <row r="19" spans="1:13" ht="24" x14ac:dyDescent="0.45">
      <c r="A19" s="11" t="s">
        <v>499</v>
      </c>
      <c r="B19" s="11" t="s">
        <v>84</v>
      </c>
      <c r="C19" s="12">
        <f>IF(MAX(GameRecord[GW]) &lt;= 19, FOR_36[[#This Row],[xPoints Av.]] *1.5, FOR_36[[#This Row],[xPoints Av.]])</f>
        <v>3</v>
      </c>
      <c r="D1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9" s="12">
        <f>(FOR_36[[#This Row],[60+Mins This Season]]/FOR_36[[#This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FOR_36[[#This Row],[xPoints Scaled]]*FOR_36[[#This Row],[Regularity]]</f>
        <v>3</v>
      </c>
      <c r="M19" s="11" t="s">
        <v>51</v>
      </c>
    </row>
    <row r="20" spans="1:13" ht="24" x14ac:dyDescent="0.45">
      <c r="A20" s="11" t="s">
        <v>500</v>
      </c>
      <c r="B20" s="11" t="s">
        <v>62</v>
      </c>
      <c r="C20" s="12">
        <f>IF(MAX(GameRecord[GW]) &lt;= 19, FOR_36[[#This Row],[xPoints Av.]] *1.5, FOR_36[[#This Row],[xPoints Av.]])</f>
        <v>3</v>
      </c>
      <c r="D2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0" s="12">
        <f>(FOR_36[[#This Row],[60+Mins This Season]]/FOR_36[[#This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4</v>
      </c>
      <c r="L20" s="12">
        <f>FOR_36[[#This Row],[xPoints Scaled]]*FOR_36[[#This Row],[Regularity]]</f>
        <v>3</v>
      </c>
      <c r="M20" s="11" t="s">
        <v>51</v>
      </c>
    </row>
  </sheetData>
  <dataValidations count="1">
    <dataValidation type="list" allowBlank="1" showInputMessage="1" showErrorMessage="1" sqref="B2:B20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8"/>
  <sheetViews>
    <sheetView workbookViewId="0">
      <selection activeCell="O2" sqref="O2:O18"/>
    </sheetView>
  </sheetViews>
  <sheetFormatPr defaultRowHeight="15" x14ac:dyDescent="0.25"/>
  <cols>
    <col min="1" max="1" width="17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245</v>
      </c>
      <c r="B2" s="11" t="s">
        <v>84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2" s="12">
        <v>0.48</v>
      </c>
      <c r="F2" s="12">
        <v>0.17</v>
      </c>
      <c r="G2" s="12">
        <v>0</v>
      </c>
      <c r="H2" s="18">
        <v>5</v>
      </c>
      <c r="I2" s="18">
        <v>5</v>
      </c>
      <c r="J2" s="11"/>
      <c r="K2" s="11"/>
      <c r="L2" s="11"/>
      <c r="M2" s="11"/>
      <c r="N2" s="11">
        <v>1</v>
      </c>
      <c r="O2" s="11">
        <v>6</v>
      </c>
      <c r="P2" s="12">
        <f>LEE_35[[#This Row],[xPoints Av.]]*LEE_35[[#This Row],[Regularity]]</f>
        <v>4.43</v>
      </c>
      <c r="Q2" s="11" t="s">
        <v>22</v>
      </c>
    </row>
    <row r="3" spans="1:17" ht="24" x14ac:dyDescent="0.45">
      <c r="A3" s="11" t="s">
        <v>237</v>
      </c>
      <c r="B3" s="11" t="s">
        <v>75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3" s="12">
        <v>0.31</v>
      </c>
      <c r="F3" s="12">
        <v>0.21</v>
      </c>
      <c r="G3" s="12">
        <v>0.15432098765432101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LEE_35[[#This Row],[xPoints Av.]]*LEE_35[[#This Row],[Regularity]]</f>
        <v>3.6314581247914579</v>
      </c>
      <c r="Q3" s="11" t="s">
        <v>22</v>
      </c>
    </row>
    <row r="4" spans="1:17" ht="24" x14ac:dyDescent="0.45">
      <c r="A4" s="11" t="s">
        <v>232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4" s="12">
        <v>0.01</v>
      </c>
      <c r="F4" s="12">
        <v>0.01</v>
      </c>
      <c r="G4" s="12">
        <v>0.24807056229327454</v>
      </c>
      <c r="H4" s="11">
        <v>20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LEE_35[[#This Row],[xPoints Av.]]*LEE_35[[#This Row],[Regularity]]</f>
        <v>2.8020747719755441</v>
      </c>
      <c r="Q4" s="11" t="s">
        <v>22</v>
      </c>
    </row>
    <row r="5" spans="1:17" ht="24" x14ac:dyDescent="0.45">
      <c r="A5" s="11" t="s">
        <v>233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5" s="12">
        <v>0.04</v>
      </c>
      <c r="F5" s="12">
        <v>0.09</v>
      </c>
      <c r="G5" s="12">
        <v>7.9225352112676062E-2</v>
      </c>
      <c r="H5" s="11">
        <v>25</v>
      </c>
      <c r="I5" s="11">
        <v>27</v>
      </c>
      <c r="J5" s="11"/>
      <c r="K5" s="11"/>
      <c r="L5" s="11"/>
      <c r="M5" s="11"/>
      <c r="N5" s="11">
        <v>1</v>
      </c>
      <c r="O5" s="11">
        <v>5</v>
      </c>
      <c r="P5" s="12">
        <f>LEE_35[[#This Row],[xPoints Av.]]*LEE_35[[#This Row],[Regularity]]</f>
        <v>2.6175013041210224</v>
      </c>
      <c r="Q5" s="11" t="s">
        <v>22</v>
      </c>
    </row>
    <row r="6" spans="1:17" ht="24" x14ac:dyDescent="0.45">
      <c r="A6" s="11" t="s">
        <v>239</v>
      </c>
      <c r="B6" s="11" t="s">
        <v>75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2.754109589041096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6" s="12">
        <v>0.06</v>
      </c>
      <c r="F6" s="12">
        <v>0.1</v>
      </c>
      <c r="G6" s="12">
        <v>0.1541095890410959</v>
      </c>
      <c r="H6" s="11">
        <v>32</v>
      </c>
      <c r="I6" s="11">
        <v>34</v>
      </c>
      <c r="J6" s="11"/>
      <c r="K6" s="11"/>
      <c r="L6" s="11"/>
      <c r="M6" s="11"/>
      <c r="N6" s="11">
        <v>1</v>
      </c>
      <c r="O6" s="11">
        <v>5</v>
      </c>
      <c r="P6" s="12">
        <f>LEE_35[[#This Row],[xPoints Av.]]*LEE_35[[#This Row],[Regularity]]</f>
        <v>2.5921031426269141</v>
      </c>
      <c r="Q6" s="11" t="s">
        <v>22</v>
      </c>
    </row>
    <row r="7" spans="1:17" ht="24" x14ac:dyDescent="0.45">
      <c r="A7" s="11" t="s">
        <v>227</v>
      </c>
      <c r="B7" s="11" t="s">
        <v>62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7" s="12">
        <v>0</v>
      </c>
      <c r="F7" s="12">
        <v>0</v>
      </c>
      <c r="G7" s="12">
        <v>0.13297872340425532</v>
      </c>
      <c r="H7" s="11">
        <v>37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LEE_35[[#This Row],[xPoints Av.]]*LEE_35[[#This Row],[Regularity]]</f>
        <v>2.5319148936170213</v>
      </c>
      <c r="Q7" s="11" t="s">
        <v>22</v>
      </c>
    </row>
    <row r="8" spans="1:17" ht="24" x14ac:dyDescent="0.45">
      <c r="A8" s="11" t="s">
        <v>148</v>
      </c>
      <c r="B8" s="11" t="s">
        <v>75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8" s="12">
        <v>0.28000000000000003</v>
      </c>
      <c r="F8" s="12">
        <v>0.14000000000000001</v>
      </c>
      <c r="G8" s="12">
        <v>0.18079550020088389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LEE_35[[#This Row],[xPoints Av.]]*LEE_35[[#This Row],[Regularity]]</f>
        <v>2.5147857429834124</v>
      </c>
      <c r="Q8" s="11" t="s">
        <v>22</v>
      </c>
    </row>
    <row r="9" spans="1:17" ht="24" x14ac:dyDescent="0.45">
      <c r="A9" s="11" t="s">
        <v>238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9" s="12">
        <v>0.17</v>
      </c>
      <c r="F9" s="12">
        <v>0.12</v>
      </c>
      <c r="G9" s="12">
        <v>0.10235026535253981</v>
      </c>
      <c r="H9" s="11">
        <v>27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LEE_35[[#This Row],[xPoints Av.]]*LEE_35[[#This Row],[Regularity]]</f>
        <v>2.3535120306452257</v>
      </c>
      <c r="Q9" s="11" t="s">
        <v>22</v>
      </c>
    </row>
    <row r="10" spans="1:17" ht="24" x14ac:dyDescent="0.45">
      <c r="A10" s="11" t="s">
        <v>235</v>
      </c>
      <c r="B10" s="11" t="s">
        <v>64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10" s="12">
        <v>0.06</v>
      </c>
      <c r="F10" s="12">
        <v>0.02</v>
      </c>
      <c r="G10" s="12">
        <v>5.725190839694657E-2</v>
      </c>
      <c r="H10" s="11">
        <v>16</v>
      </c>
      <c r="I10" s="11">
        <v>19</v>
      </c>
      <c r="J10" s="11"/>
      <c r="K10" s="11"/>
      <c r="L10" s="11"/>
      <c r="M10" s="11"/>
      <c r="N10" s="11">
        <v>1</v>
      </c>
      <c r="O10" s="11">
        <v>4</v>
      </c>
      <c r="P10" s="12">
        <f>LEE_35[[#This Row],[xPoints Av.]]*LEE_35[[#This Row],[Regularity]]</f>
        <v>2.2307432703897145</v>
      </c>
      <c r="Q10" s="11" t="s">
        <v>22</v>
      </c>
    </row>
    <row r="11" spans="1:17" ht="24" x14ac:dyDescent="0.45">
      <c r="A11" s="11" t="s">
        <v>243</v>
      </c>
      <c r="B11" s="11" t="s">
        <v>84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11" s="12">
        <v>0.22</v>
      </c>
      <c r="F11" s="12">
        <v>0.14000000000000001</v>
      </c>
      <c r="G11" s="12">
        <v>0.1988510826336721</v>
      </c>
      <c r="H11" s="11">
        <v>22</v>
      </c>
      <c r="I11" s="11">
        <v>33</v>
      </c>
      <c r="J11" s="11"/>
      <c r="K11" s="11"/>
      <c r="L11" s="11"/>
      <c r="M11" s="11"/>
      <c r="N11" s="11">
        <v>1</v>
      </c>
      <c r="O11" s="11">
        <v>4</v>
      </c>
      <c r="P11" s="12">
        <f>LEE_35[[#This Row],[xPoints Av.]]*LEE_35[[#This Row],[Regularity]]</f>
        <v>2.1999999999999997</v>
      </c>
      <c r="Q11" s="11" t="s">
        <v>22</v>
      </c>
    </row>
    <row r="12" spans="1:17" ht="24" x14ac:dyDescent="0.45">
      <c r="A12" s="11" t="s">
        <v>231</v>
      </c>
      <c r="B12" s="11" t="s">
        <v>64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12" s="12">
        <v>0.08</v>
      </c>
      <c r="F12" s="12">
        <v>0</v>
      </c>
      <c r="G12" s="12">
        <v>0.19222554463904312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LEE_35[[#This Row],[xPoints Av.]]*LEE_35[[#This Row],[Regularity]]</f>
        <v>2.1374356437869557</v>
      </c>
      <c r="Q12" s="11" t="s">
        <v>22</v>
      </c>
    </row>
    <row r="13" spans="1:17" ht="24" x14ac:dyDescent="0.45">
      <c r="A13" s="11" t="s">
        <v>241</v>
      </c>
      <c r="B13" s="11" t="s">
        <v>75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2.5793851944792974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0.72727272727272729</v>
      </c>
      <c r="E13" s="12">
        <v>0.04</v>
      </c>
      <c r="F13" s="12">
        <v>7.0000000000000007E-2</v>
      </c>
      <c r="G13" s="12">
        <v>0.16938519447929737</v>
      </c>
      <c r="H13" s="11">
        <v>16</v>
      </c>
      <c r="I13" s="11">
        <v>22</v>
      </c>
      <c r="J13" s="11"/>
      <c r="K13" s="11"/>
      <c r="L13" s="11"/>
      <c r="M13" s="11"/>
      <c r="N13" s="11">
        <v>1</v>
      </c>
      <c r="O13" s="11">
        <v>4</v>
      </c>
      <c r="P13" s="12">
        <f>LEE_35[[#This Row],[xPoints Av.]]*LEE_35[[#This Row],[Regularity]]</f>
        <v>1.8759165050758526</v>
      </c>
      <c r="Q13" s="11" t="s">
        <v>22</v>
      </c>
    </row>
    <row r="14" spans="1:17" ht="24" x14ac:dyDescent="0.45">
      <c r="A14" s="11" t="s">
        <v>234</v>
      </c>
      <c r="B14" s="11" t="s">
        <v>64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14" s="12">
        <v>0.1</v>
      </c>
      <c r="F14" s="12">
        <v>0.02</v>
      </c>
      <c r="G14" s="12">
        <v>4.3902439024390241E-2</v>
      </c>
      <c r="H14" s="11">
        <v>21</v>
      </c>
      <c r="I14" s="11">
        <v>32</v>
      </c>
      <c r="J14" s="11"/>
      <c r="K14" s="11"/>
      <c r="L14" s="11"/>
      <c r="M14" s="11"/>
      <c r="N14" s="11">
        <v>1</v>
      </c>
      <c r="O14" s="11">
        <v>4</v>
      </c>
      <c r="P14" s="12">
        <f>LEE_35[[#This Row],[xPoints Av.]]*LEE_35[[#This Row],[Regularity]]</f>
        <v>1.8608689024390246</v>
      </c>
      <c r="Q14" s="11" t="s">
        <v>22</v>
      </c>
    </row>
    <row r="15" spans="1:17" ht="24" x14ac:dyDescent="0.45">
      <c r="A15" s="11" t="s">
        <v>236</v>
      </c>
      <c r="B15" s="11" t="s">
        <v>64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15" s="12">
        <v>0.05</v>
      </c>
      <c r="F15" s="12">
        <v>0.13</v>
      </c>
      <c r="G15" s="12">
        <v>5.2662375658279699E-2</v>
      </c>
      <c r="H15" s="11">
        <v>16</v>
      </c>
      <c r="I15" s="11">
        <v>30</v>
      </c>
      <c r="J15" s="11"/>
      <c r="K15" s="11"/>
      <c r="L15" s="11"/>
      <c r="M15" s="11"/>
      <c r="N15" s="11">
        <v>1</v>
      </c>
      <c r="O15" s="11">
        <v>4</v>
      </c>
      <c r="P15" s="12">
        <f>LEE_35[[#This Row],[xPoints Av.]]*LEE_35[[#This Row],[Regularity]]</f>
        <v>1.5470130680709966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LEE_35[[#This Row],[xPoints Av.]]*LEE_35[[#This Row],[Regularity]]</f>
        <v>1.2239777195281782</v>
      </c>
      <c r="Q17" s="11" t="s">
        <v>22</v>
      </c>
    </row>
    <row r="18" spans="1:17" ht="24" x14ac:dyDescent="0.45">
      <c r="A18" s="11" t="s">
        <v>244</v>
      </c>
      <c r="B18" s="11" t="s">
        <v>84</v>
      </c>
      <c r="C1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8" s="12">
        <v>0.49</v>
      </c>
      <c r="F18" s="12">
        <v>0.23</v>
      </c>
      <c r="G18" s="12">
        <v>0.1988510826336721</v>
      </c>
      <c r="H18" s="11">
        <v>6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LEE_35[[#This Row],[xPoints Av.]]*LEE_35[[#This Row],[Regularity]]</f>
        <v>0.73421052631578954</v>
      </c>
      <c r="Q18" s="11" t="s">
        <v>22</v>
      </c>
    </row>
  </sheetData>
  <dataValidations count="1">
    <dataValidation type="list" allowBlank="1" showInputMessage="1" showErrorMessage="1" sqref="B2:B18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9"/>
  <sheetViews>
    <sheetView workbookViewId="0">
      <selection activeCell="N10" sqref="N10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263</v>
      </c>
      <c r="B2" s="11" t="s">
        <v>84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2" s="12">
        <v>0.5</v>
      </c>
      <c r="F2" s="12">
        <v>0.08</v>
      </c>
      <c r="G2" s="12">
        <v>0.19988895058300943</v>
      </c>
      <c r="H2" s="11">
        <v>18</v>
      </c>
      <c r="I2" s="11">
        <v>18</v>
      </c>
      <c r="J2" s="11"/>
      <c r="K2" s="11"/>
      <c r="L2" s="11"/>
      <c r="M2" s="11"/>
      <c r="N2" s="11">
        <v>1</v>
      </c>
      <c r="O2" s="11">
        <v>10</v>
      </c>
      <c r="P2" s="12">
        <f>LEI_37[[#This Row],[xPoints Av.]]*LEI_37[[#This Row],[Regularity]]</f>
        <v>4.24</v>
      </c>
      <c r="Q2" s="11" t="s">
        <v>14</v>
      </c>
    </row>
    <row r="3" spans="1:17" ht="24" x14ac:dyDescent="0.45">
      <c r="A3" s="11" t="s">
        <v>257</v>
      </c>
      <c r="B3" s="11" t="s">
        <v>75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3" s="12">
        <v>0.15</v>
      </c>
      <c r="F3" s="12">
        <v>0.15</v>
      </c>
      <c r="G3" s="12">
        <v>0.20540129326740206</v>
      </c>
      <c r="H3" s="11">
        <v>29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LEI_37[[#This Row],[xPoints Av.]]*LEI_37[[#This Row],[Regularity]]</f>
        <v>3.0861449220235828</v>
      </c>
      <c r="Q3" s="11" t="s">
        <v>14</v>
      </c>
    </row>
    <row r="4" spans="1:17" ht="24" x14ac:dyDescent="0.45">
      <c r="A4" s="11" t="s">
        <v>253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4" s="12">
        <v>0.09</v>
      </c>
      <c r="F4" s="12">
        <v>0.06</v>
      </c>
      <c r="G4" s="12">
        <v>0.1337295690936107</v>
      </c>
      <c r="H4" s="11">
        <v>14</v>
      </c>
      <c r="I4" s="11">
        <v>15</v>
      </c>
      <c r="J4" s="11"/>
      <c r="K4" s="11"/>
      <c r="L4" s="11"/>
      <c r="M4" s="11"/>
      <c r="N4" s="11">
        <v>1</v>
      </c>
      <c r="O4" s="11">
        <v>6</v>
      </c>
      <c r="P4" s="12">
        <f>LEI_37[[#This Row],[xPoints Av.]]*LEI_37[[#This Row],[Regularity]]</f>
        <v>3.0379237246161468</v>
      </c>
      <c r="Q4" s="11" t="s">
        <v>14</v>
      </c>
    </row>
    <row r="5" spans="1:17" ht="24" x14ac:dyDescent="0.45">
      <c r="A5" s="11" t="s">
        <v>255</v>
      </c>
      <c r="B5" s="11" t="s">
        <v>75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5" s="12">
        <v>0.24</v>
      </c>
      <c r="F5" s="12">
        <v>0.21</v>
      </c>
      <c r="G5" s="12">
        <v>0.18337408312958436</v>
      </c>
      <c r="H5" s="11">
        <v>27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LEI_37[[#This Row],[xPoints Av.]]*LEI_37[[#This Row],[Regularity]]</f>
        <v>3.0100305623471879</v>
      </c>
      <c r="Q5" s="11" t="s">
        <v>14</v>
      </c>
    </row>
    <row r="6" spans="1:17" ht="24" x14ac:dyDescent="0.45">
      <c r="A6" s="14" t="s">
        <v>247</v>
      </c>
      <c r="B6" s="11" t="s">
        <v>62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6" s="12">
        <v>0</v>
      </c>
      <c r="F6" s="12">
        <v>0</v>
      </c>
      <c r="G6" s="12">
        <v>0.1891891891891892</v>
      </c>
      <c r="H6" s="11">
        <v>37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LEI_37[[#This Row],[xPoints Av.]]*LEI_37[[#This Row],[Regularity]]</f>
        <v>2.6842105263157898</v>
      </c>
      <c r="Q6" s="11" t="s">
        <v>14</v>
      </c>
    </row>
    <row r="7" spans="1:17" ht="24" x14ac:dyDescent="0.45">
      <c r="A7" s="11" t="s">
        <v>256</v>
      </c>
      <c r="B7" s="11" t="s">
        <v>75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7" s="12">
        <v>0.27</v>
      </c>
      <c r="F7" s="12">
        <v>0.19</v>
      </c>
      <c r="G7" s="12">
        <v>0.34367541766109783</v>
      </c>
      <c r="H7" s="11">
        <v>23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LEI_37[[#This Row],[xPoints Av.]]*LEI_37[[#This Row],[Regularity]]</f>
        <v>2.5806456475317172</v>
      </c>
      <c r="Q7" s="11" t="s">
        <v>14</v>
      </c>
    </row>
    <row r="8" spans="1:17" ht="24" x14ac:dyDescent="0.45">
      <c r="A8" s="11" t="s">
        <v>250</v>
      </c>
      <c r="B8" s="11" t="s">
        <v>64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8" s="12">
        <v>0.04</v>
      </c>
      <c r="F8" s="12">
        <v>0</v>
      </c>
      <c r="G8" s="12">
        <v>0.18021625951141371</v>
      </c>
      <c r="H8" s="11">
        <v>28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LEI_37[[#This Row],[xPoints Av.]]*LEI_37[[#This Row],[Regularity]]</f>
        <v>2.4383594430964215</v>
      </c>
      <c r="Q8" s="11" t="s">
        <v>14</v>
      </c>
    </row>
    <row r="9" spans="1:17" ht="24" x14ac:dyDescent="0.45">
      <c r="A9" s="11" t="s">
        <v>260</v>
      </c>
      <c r="B9" s="11" t="s">
        <v>75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9" s="12">
        <v>0.03</v>
      </c>
      <c r="F9" s="12">
        <v>0</v>
      </c>
      <c r="G9" s="12">
        <v>0.2782931354359926</v>
      </c>
      <c r="H9" s="11">
        <v>18</v>
      </c>
      <c r="I9" s="11">
        <v>21</v>
      </c>
      <c r="J9" s="11"/>
      <c r="K9" s="11"/>
      <c r="L9" s="11"/>
      <c r="M9" s="11"/>
      <c r="N9" s="11">
        <v>1</v>
      </c>
      <c r="O9" s="11">
        <v>5</v>
      </c>
      <c r="P9" s="12">
        <f>LEI_37[[#This Row],[xPoints Av.]]*LEI_37[[#This Row],[Regularity]]</f>
        <v>2.0813941160879934</v>
      </c>
      <c r="Q9" s="11" t="s">
        <v>14</v>
      </c>
    </row>
    <row r="10" spans="1:17" ht="24" x14ac:dyDescent="0.45">
      <c r="A10" s="11" t="s">
        <v>249</v>
      </c>
      <c r="B10" s="11" t="s">
        <v>64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0" s="12">
        <v>0.04</v>
      </c>
      <c r="F10" s="12">
        <v>0.05</v>
      </c>
      <c r="G10" s="12">
        <v>0.25423728813559321</v>
      </c>
      <c r="H10" s="11">
        <v>23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LEI_37[[#This Row],[xPoints Av.]]*LEI_37[[#This Row],[Regularity]]</f>
        <v>2.062100802854594</v>
      </c>
      <c r="Q10" s="11" t="s">
        <v>14</v>
      </c>
    </row>
    <row r="11" spans="1:17" ht="24" x14ac:dyDescent="0.45">
      <c r="A11" s="13" t="s">
        <v>259</v>
      </c>
      <c r="B11" s="11" t="s">
        <v>75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1" s="12">
        <v>0.06</v>
      </c>
      <c r="F11" s="12">
        <v>0.13</v>
      </c>
      <c r="G11" s="12">
        <v>0.34269395525940027</v>
      </c>
      <c r="H11" s="11">
        <v>23</v>
      </c>
      <c r="I11" s="11">
        <v>37</v>
      </c>
      <c r="J11" s="11"/>
      <c r="K11" s="11"/>
      <c r="L11" s="11"/>
      <c r="M11" s="11"/>
      <c r="N11" s="11">
        <v>1</v>
      </c>
      <c r="O11" s="11">
        <v>5</v>
      </c>
      <c r="P11" s="12">
        <f>LEI_37[[#This Row],[xPoints Av.]]*LEI_37[[#This Row],[Regularity]]</f>
        <v>1.8851881343504382</v>
      </c>
      <c r="Q11" s="11" t="s">
        <v>14</v>
      </c>
    </row>
    <row r="12" spans="1:17" ht="24" x14ac:dyDescent="0.45">
      <c r="A12" s="11" t="s">
        <v>252</v>
      </c>
      <c r="B12" s="11" t="s">
        <v>64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12" s="12">
        <v>0.01</v>
      </c>
      <c r="F12" s="12">
        <v>7.0000000000000007E-2</v>
      </c>
      <c r="G12" s="12">
        <v>0.23547880690737832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LEI_37[[#This Row],[xPoints Av.]]*LEI_37[[#This Row],[Regularity]]</f>
        <v>1.6904816987523754</v>
      </c>
      <c r="Q12" s="11" t="s">
        <v>14</v>
      </c>
    </row>
    <row r="13" spans="1:17" ht="24" x14ac:dyDescent="0.45">
      <c r="A13" s="11" t="s">
        <v>251</v>
      </c>
      <c r="B13" s="11" t="s">
        <v>64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13" s="12">
        <v>0</v>
      </c>
      <c r="F13" s="12">
        <v>0.01</v>
      </c>
      <c r="G13" s="12">
        <v>0.21246458923512745</v>
      </c>
      <c r="H13" s="11">
        <v>22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LEI_37[[#This Row],[xPoints Av.]]*LEI_37[[#This Row],[Regularity]]</f>
        <v>1.6672864171760846</v>
      </c>
      <c r="Q13" s="11" t="s">
        <v>14</v>
      </c>
    </row>
    <row r="14" spans="1:17" ht="24" x14ac:dyDescent="0.45">
      <c r="A14" s="11" t="s">
        <v>258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3.9044813278008297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0.4</v>
      </c>
      <c r="E14" s="12">
        <v>0.28999999999999998</v>
      </c>
      <c r="F14" s="12">
        <v>0.11</v>
      </c>
      <c r="G14" s="12">
        <v>0.12448132780082988</v>
      </c>
      <c r="H14" s="11">
        <v>14</v>
      </c>
      <c r="I14" s="11">
        <v>35</v>
      </c>
      <c r="J14" s="11"/>
      <c r="K14" s="11"/>
      <c r="L14" s="11"/>
      <c r="M14" s="11"/>
      <c r="N14" s="11">
        <v>1</v>
      </c>
      <c r="O14" s="11">
        <v>4</v>
      </c>
      <c r="P14" s="12">
        <f>LEI_37[[#This Row],[xPoints Av.]]*LEI_37[[#This Row],[Regularity]]</f>
        <v>1.561792531120332</v>
      </c>
      <c r="Q14" s="11" t="s">
        <v>14</v>
      </c>
    </row>
    <row r="15" spans="1:17" ht="24" x14ac:dyDescent="0.45">
      <c r="A15" s="11" t="s">
        <v>265</v>
      </c>
      <c r="B15" s="11" t="s">
        <v>84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15" s="12">
        <v>0.4</v>
      </c>
      <c r="F15" s="12">
        <v>0.14000000000000001</v>
      </c>
      <c r="G15" s="12">
        <v>0.234375</v>
      </c>
      <c r="H15" s="18">
        <v>12</v>
      </c>
      <c r="I15" s="18">
        <v>38</v>
      </c>
      <c r="J15" s="11"/>
      <c r="K15" s="11"/>
      <c r="L15" s="11"/>
      <c r="M15" s="11"/>
      <c r="N15" s="11">
        <v>1</v>
      </c>
      <c r="O15" s="11">
        <v>4</v>
      </c>
      <c r="P15" s="12">
        <f>LEI_37[[#This Row],[xPoints Av.]]*LEI_37[[#This Row],[Regularity]]</f>
        <v>1.2694736842105261</v>
      </c>
      <c r="Q15" s="11" t="s">
        <v>14</v>
      </c>
    </row>
    <row r="16" spans="1:17" ht="24" x14ac:dyDescent="0.45">
      <c r="A16" s="11" t="s">
        <v>264</v>
      </c>
      <c r="B16" s="11" t="s">
        <v>84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6" s="12">
        <v>0.26</v>
      </c>
      <c r="F16" s="12">
        <v>0.2</v>
      </c>
      <c r="G16" s="12">
        <v>7.1827613727055067E-2</v>
      </c>
      <c r="H16" s="18">
        <v>11</v>
      </c>
      <c r="I16" s="18">
        <v>38</v>
      </c>
      <c r="J16" s="11"/>
      <c r="K16" s="11"/>
      <c r="L16" s="11"/>
      <c r="M16" s="11"/>
      <c r="N16" s="11">
        <v>1</v>
      </c>
      <c r="O16" s="11">
        <v>4</v>
      </c>
      <c r="P16" s="12">
        <f>LEI_37[[#This Row],[xPoints Av.]]*LEI_37[[#This Row],[Regularity]]</f>
        <v>1.0536842105263158</v>
      </c>
      <c r="Q16" s="11" t="s">
        <v>14</v>
      </c>
    </row>
    <row r="17" spans="1:17" ht="24" x14ac:dyDescent="0.45">
      <c r="A17" s="11" t="s">
        <v>254</v>
      </c>
      <c r="B17" s="11" t="s">
        <v>64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17" s="12">
        <v>0.05</v>
      </c>
      <c r="F17" s="12">
        <v>0.13</v>
      </c>
      <c r="G17" s="12">
        <v>9.0909090909090912E-2</v>
      </c>
      <c r="H17" s="11">
        <v>9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LEI_37[[#This Row],[xPoints Av.]]*LEI_37[[#This Row],[Regularity]]</f>
        <v>0.85883522727272732</v>
      </c>
      <c r="Q17" s="11" t="s">
        <v>14</v>
      </c>
    </row>
    <row r="18" spans="1:17" ht="24" x14ac:dyDescent="0.45">
      <c r="A18" s="11" t="s">
        <v>261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0.04</v>
      </c>
      <c r="F18" s="12">
        <v>0.14000000000000001</v>
      </c>
      <c r="G18" s="12">
        <v>0.15971606033717836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LEI_37[[#This Row],[xPoints Av.]]*LEI_37[[#This Row],[Regularity]]</f>
        <v>0.80465464904497275</v>
      </c>
      <c r="Q18" s="11" t="s">
        <v>14</v>
      </c>
    </row>
    <row r="19" spans="1:17" ht="24" x14ac:dyDescent="0.45">
      <c r="A19" s="11" t="s">
        <v>262</v>
      </c>
      <c r="B19" s="11" t="s">
        <v>75</v>
      </c>
      <c r="C1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9" s="12">
        <v>0.03</v>
      </c>
      <c r="F19" s="12">
        <v>0.02</v>
      </c>
      <c r="G19" s="12">
        <v>0.16438356164383564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LEI_37[[#This Row],[xPoints Av.]]*LEI_37[[#This Row],[Regularity]]</f>
        <v>0.68732155731795253</v>
      </c>
      <c r="Q19" s="11" t="s">
        <v>14</v>
      </c>
    </row>
  </sheetData>
  <dataValidations count="1">
    <dataValidation type="list" allowBlank="1" showInputMessage="1" showErrorMessage="1" sqref="B2:B19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2"/>
  <sheetViews>
    <sheetView workbookViewId="0">
      <selection activeCell="N9" sqref="N9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276</v>
      </c>
      <c r="B2" s="11" t="s">
        <v>75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2" s="12">
        <v>0.8</v>
      </c>
      <c r="F2" s="12">
        <v>0.32</v>
      </c>
      <c r="G2" s="12">
        <v>0.55474981870920959</v>
      </c>
      <c r="H2" s="11">
        <v>30</v>
      </c>
      <c r="I2" s="11">
        <v>36</v>
      </c>
      <c r="J2" s="11"/>
      <c r="K2" s="11"/>
      <c r="L2" s="11"/>
      <c r="M2" s="11"/>
      <c r="N2" s="11">
        <v>1</v>
      </c>
      <c r="O2" s="11">
        <v>12</v>
      </c>
      <c r="P2" s="12">
        <f>LIV_38[[#This Row],[xPoints Av.]]*LIV_38[[#This Row],[Regularity]]</f>
        <v>6.2622915155910075</v>
      </c>
      <c r="Q2" s="11" t="s">
        <v>8</v>
      </c>
    </row>
    <row r="3" spans="1:17" ht="24" x14ac:dyDescent="0.45">
      <c r="A3" s="1" t="s">
        <v>270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3" s="12">
        <v>7.0000000000000007E-2</v>
      </c>
      <c r="F3" s="12">
        <v>0.4</v>
      </c>
      <c r="G3" s="12">
        <v>0.56782334384858046</v>
      </c>
      <c r="H3" s="11">
        <v>32</v>
      </c>
      <c r="I3" s="11">
        <v>34</v>
      </c>
      <c r="J3" s="11"/>
      <c r="K3" s="11"/>
      <c r="L3" s="11"/>
      <c r="M3" s="11"/>
      <c r="N3" s="11">
        <v>1</v>
      </c>
      <c r="O3" s="11">
        <v>8</v>
      </c>
      <c r="P3" s="12">
        <f>LIV_38[[#This Row],[xPoints Av.]]*LIV_38[[#This Row],[Regularity]]</f>
        <v>5.5447467062534797</v>
      </c>
      <c r="Q3" s="11" t="s">
        <v>8</v>
      </c>
    </row>
    <row r="4" spans="1:17" ht="24" x14ac:dyDescent="0.45">
      <c r="A4" s="11" t="s">
        <v>272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4" s="12">
        <v>0.06</v>
      </c>
      <c r="F4" s="12">
        <v>0.05</v>
      </c>
      <c r="G4" s="12">
        <v>0.61764705882352944</v>
      </c>
      <c r="H4" s="11">
        <v>34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LIV_38[[#This Row],[xPoints Av.]]*LIV_38[[#This Row],[Regularity]]</f>
        <v>4.9805882352941175</v>
      </c>
      <c r="Q4" s="11" t="s">
        <v>8</v>
      </c>
    </row>
    <row r="5" spans="1:17" ht="24" x14ac:dyDescent="0.45">
      <c r="A5" s="11" t="s">
        <v>277</v>
      </c>
      <c r="B5" s="11" t="s">
        <v>75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5.7029382540809088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5" s="12">
        <v>0.53</v>
      </c>
      <c r="F5" s="12">
        <v>0.17</v>
      </c>
      <c r="G5" s="12">
        <v>0.54293825408090846</v>
      </c>
      <c r="H5" s="11">
        <v>31</v>
      </c>
      <c r="I5" s="11">
        <v>36</v>
      </c>
      <c r="J5" s="11"/>
      <c r="K5" s="11"/>
      <c r="L5" s="11"/>
      <c r="M5" s="11"/>
      <c r="N5" s="11">
        <v>1</v>
      </c>
      <c r="O5" s="11">
        <v>8</v>
      </c>
      <c r="P5" s="12">
        <f>LIV_38[[#This Row],[xPoints Av.]]*LIV_38[[#This Row],[Regularity]]</f>
        <v>4.9108634965696707</v>
      </c>
      <c r="Q5" s="11" t="s">
        <v>8</v>
      </c>
    </row>
    <row r="6" spans="1:17" ht="24" x14ac:dyDescent="0.45">
      <c r="A6" s="11" t="s">
        <v>271</v>
      </c>
      <c r="B6" s="11" t="s">
        <v>64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6" s="12">
        <v>0.08</v>
      </c>
      <c r="F6" s="12">
        <v>0.22</v>
      </c>
      <c r="G6" s="12">
        <v>0.60307449743791874</v>
      </c>
      <c r="H6" s="11">
        <v>29</v>
      </c>
      <c r="I6" s="11">
        <v>36</v>
      </c>
      <c r="J6" s="11"/>
      <c r="K6" s="11"/>
      <c r="L6" s="11"/>
      <c r="M6" s="11"/>
      <c r="N6" s="11">
        <v>1</v>
      </c>
      <c r="O6" s="11">
        <v>6</v>
      </c>
      <c r="P6" s="12">
        <f>LIV_38[[#This Row],[xPoints Av.]]*LIV_38[[#This Row],[Regularity]]</f>
        <v>4.4726844917444053</v>
      </c>
      <c r="Q6" s="11" t="s">
        <v>8</v>
      </c>
    </row>
    <row r="7" spans="1:17" ht="24" x14ac:dyDescent="0.45">
      <c r="A7" s="11" t="s">
        <v>278</v>
      </c>
      <c r="B7" s="11" t="s">
        <v>75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6.4445778532032243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7" s="12">
        <v>0.65</v>
      </c>
      <c r="F7" s="12">
        <v>0.22</v>
      </c>
      <c r="G7" s="12">
        <v>0.53457785320322437</v>
      </c>
      <c r="H7" s="11">
        <v>24</v>
      </c>
      <c r="I7" s="11">
        <v>35</v>
      </c>
      <c r="J7" s="11"/>
      <c r="K7" s="11"/>
      <c r="L7" s="11"/>
      <c r="M7" s="11"/>
      <c r="N7" s="11">
        <v>1</v>
      </c>
      <c r="O7" s="11">
        <v>6</v>
      </c>
      <c r="P7" s="12">
        <f>LIV_38[[#This Row],[xPoints Av.]]*LIV_38[[#This Row],[Regularity]]</f>
        <v>4.419139099339354</v>
      </c>
      <c r="Q7" s="11" t="s">
        <v>8</v>
      </c>
    </row>
    <row r="8" spans="1:17" ht="24" x14ac:dyDescent="0.45">
      <c r="A8" s="11" t="s">
        <v>273</v>
      </c>
      <c r="B8" s="11" t="s">
        <v>64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8" s="12">
        <v>0.09</v>
      </c>
      <c r="F8" s="12">
        <v>7.0000000000000007E-2</v>
      </c>
      <c r="G8" s="12">
        <v>0.54838709677419351</v>
      </c>
      <c r="H8" s="11">
        <v>31</v>
      </c>
      <c r="I8" s="11">
        <v>36</v>
      </c>
      <c r="J8" s="11"/>
      <c r="K8" s="11"/>
      <c r="L8" s="11"/>
      <c r="M8" s="11"/>
      <c r="N8" s="11">
        <v>1</v>
      </c>
      <c r="O8" s="11">
        <v>6</v>
      </c>
      <c r="P8" s="12">
        <f>LIV_38[[#This Row],[xPoints Av.]]*LIV_38[[#This Row],[Regularity]]</f>
        <v>4.2569444444444438</v>
      </c>
      <c r="Q8" s="11" t="s">
        <v>8</v>
      </c>
    </row>
    <row r="9" spans="1:17" ht="24" x14ac:dyDescent="0.45">
      <c r="A9" s="11" t="s">
        <v>267</v>
      </c>
      <c r="B9" s="11" t="s">
        <v>62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9" s="12">
        <v>0</v>
      </c>
      <c r="F9" s="12">
        <v>0</v>
      </c>
      <c r="G9" s="12">
        <v>0.55555555555555558</v>
      </c>
      <c r="H9" s="11">
        <v>36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LIV_38[[#This Row],[xPoints Av.]]*LIV_38[[#This Row],[Regularity]]</f>
        <v>4.1081081081081088</v>
      </c>
      <c r="Q9" s="11" t="s">
        <v>8</v>
      </c>
    </row>
    <row r="10" spans="1:17" ht="24" x14ac:dyDescent="0.45">
      <c r="A10" s="11" t="s">
        <v>281</v>
      </c>
      <c r="B10" s="11" t="s">
        <v>75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10" s="12">
        <v>0.1</v>
      </c>
      <c r="F10" s="12">
        <v>0.15</v>
      </c>
      <c r="G10" s="12">
        <v>0.64833005893909634</v>
      </c>
      <c r="H10" s="11">
        <v>15</v>
      </c>
      <c r="I10" s="11">
        <v>15</v>
      </c>
      <c r="J10" s="11"/>
      <c r="K10" s="11"/>
      <c r="L10" s="11"/>
      <c r="M10" s="11"/>
      <c r="N10" s="11">
        <v>1</v>
      </c>
      <c r="O10" s="11">
        <v>5</v>
      </c>
      <c r="P10" s="12">
        <f>LIV_38[[#This Row],[xPoints Av.]]*LIV_38[[#This Row],[Regularity]]</f>
        <v>3.5983300589390961</v>
      </c>
      <c r="Q10" s="11" t="s">
        <v>8</v>
      </c>
    </row>
    <row r="11" spans="1:17" ht="24" x14ac:dyDescent="0.45">
      <c r="A11" s="11" t="s">
        <v>283</v>
      </c>
      <c r="B11" s="11" t="s">
        <v>75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1" s="12">
        <v>0.4</v>
      </c>
      <c r="F11" s="12">
        <v>0.2</v>
      </c>
      <c r="G11" s="12">
        <f>6/(957/90)</f>
        <v>0.5642633228840126</v>
      </c>
      <c r="H11" s="11">
        <v>10</v>
      </c>
      <c r="I11" s="11">
        <v>16</v>
      </c>
      <c r="J11" s="11"/>
      <c r="K11" s="11"/>
      <c r="L11" s="11"/>
      <c r="M11" s="11"/>
      <c r="N11" s="11">
        <v>1</v>
      </c>
      <c r="O11" s="11">
        <v>5</v>
      </c>
      <c r="P11" s="12">
        <f>LIV_38[[#This Row],[xPoints Av.]]*LIV_38[[#This Row],[Regularity]]</f>
        <v>3.2276645768025078</v>
      </c>
      <c r="Q11" s="11" t="s">
        <v>8</v>
      </c>
    </row>
    <row r="12" spans="1:17" ht="24" x14ac:dyDescent="0.45">
      <c r="A12" s="11" t="s">
        <v>289</v>
      </c>
      <c r="B12" s="11" t="s">
        <v>84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12" s="12">
        <v>0.48</v>
      </c>
      <c r="F12" s="12">
        <v>0.2</v>
      </c>
      <c r="G12" s="12">
        <v>0.45918367346938777</v>
      </c>
      <c r="H12" s="18">
        <v>8</v>
      </c>
      <c r="I12" s="18">
        <v>12</v>
      </c>
      <c r="J12" s="11"/>
      <c r="K12" s="11"/>
      <c r="L12" s="11"/>
      <c r="M12" s="11"/>
      <c r="N12" s="11">
        <v>1</v>
      </c>
      <c r="O12" s="11">
        <v>5</v>
      </c>
      <c r="P12" s="12">
        <f>LIV_38[[#This Row],[xPoints Av.]]*LIV_38[[#This Row],[Regularity]]</f>
        <v>3.0133333333333328</v>
      </c>
      <c r="Q12" s="11" t="s">
        <v>8</v>
      </c>
    </row>
    <row r="13" spans="1:17" ht="24" x14ac:dyDescent="0.45">
      <c r="A13" s="11" t="s">
        <v>280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3" s="12">
        <v>0.2</v>
      </c>
      <c r="F13" s="12">
        <v>0.05</v>
      </c>
      <c r="G13" s="12">
        <v>0.58416270012981397</v>
      </c>
      <c r="H13" s="11">
        <v>25</v>
      </c>
      <c r="I13" s="11">
        <v>35</v>
      </c>
      <c r="J13" s="11"/>
      <c r="K13" s="11"/>
      <c r="L13" s="11"/>
      <c r="M13" s="11"/>
      <c r="N13" s="11">
        <v>1</v>
      </c>
      <c r="O13" s="11">
        <v>5</v>
      </c>
      <c r="P13" s="12">
        <f>LIV_38[[#This Row],[xPoints Av.]]*LIV_38[[#This Row],[Regularity]]</f>
        <v>2.667259071521296</v>
      </c>
      <c r="Q13" s="11" t="s">
        <v>8</v>
      </c>
    </row>
    <row r="14" spans="1:17" ht="24" x14ac:dyDescent="0.45">
      <c r="A14" s="11" t="s">
        <v>279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4" s="12">
        <v>0.05</v>
      </c>
      <c r="F14" s="12">
        <v>0.14000000000000001</v>
      </c>
      <c r="G14" s="12">
        <v>0.52083333333333337</v>
      </c>
      <c r="H14" s="11">
        <v>28</v>
      </c>
      <c r="I14" s="11">
        <v>36</v>
      </c>
      <c r="J14" s="11"/>
      <c r="K14" s="11"/>
      <c r="L14" s="11"/>
      <c r="M14" s="11"/>
      <c r="N14" s="11">
        <v>1</v>
      </c>
      <c r="O14" s="11">
        <v>5</v>
      </c>
      <c r="P14" s="12">
        <f>LIV_38[[#This Row],[xPoints Av.]]*LIV_38[[#This Row],[Regularity]]</f>
        <v>2.4817592592592592</v>
      </c>
      <c r="Q14" s="11" t="s">
        <v>8</v>
      </c>
    </row>
    <row r="15" spans="1:17" ht="24" x14ac:dyDescent="0.45">
      <c r="A15" s="11" t="s">
        <v>288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5" s="12">
        <v>0.16</v>
      </c>
      <c r="F15" s="12">
        <v>0.13</v>
      </c>
      <c r="G15" s="12">
        <v>0.5232558139534883</v>
      </c>
      <c r="H15" s="18">
        <v>4</v>
      </c>
      <c r="I15" s="18">
        <v>8</v>
      </c>
      <c r="J15" s="11"/>
      <c r="K15" s="11"/>
      <c r="L15" s="11"/>
      <c r="M15" s="11"/>
      <c r="N15" s="11">
        <v>1</v>
      </c>
      <c r="O15" s="11">
        <v>4</v>
      </c>
      <c r="P15" s="12">
        <f>LIV_38[[#This Row],[xPoints Av.]]*LIV_38[[#This Row],[Regularity]]</f>
        <v>1.8566279069767442</v>
      </c>
      <c r="Q15" s="11" t="s">
        <v>8</v>
      </c>
    </row>
    <row r="16" spans="1:17" ht="24" x14ac:dyDescent="0.45">
      <c r="A16" s="11" t="s">
        <v>282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6" s="12">
        <v>0.16</v>
      </c>
      <c r="F16" s="12">
        <v>0.14000000000000001</v>
      </c>
      <c r="G16" s="12">
        <v>0.61591103507271172</v>
      </c>
      <c r="H16" s="11">
        <v>12</v>
      </c>
      <c r="I16" s="11">
        <v>30</v>
      </c>
      <c r="J16" s="11"/>
      <c r="K16" s="11"/>
      <c r="L16" s="11"/>
      <c r="M16" s="11"/>
      <c r="N16" s="11">
        <v>1</v>
      </c>
      <c r="O16" s="11">
        <v>4</v>
      </c>
      <c r="P16" s="12">
        <f>LIV_38[[#This Row],[xPoints Av.]]*LIV_38[[#This Row],[Regularity]]</f>
        <v>1.5343644140290849</v>
      </c>
      <c r="Q16" s="11" t="s">
        <v>8</v>
      </c>
    </row>
    <row r="17" spans="1:17" ht="24" x14ac:dyDescent="0.45">
      <c r="A17" s="11" t="s">
        <v>285</v>
      </c>
      <c r="B17" s="11" t="s">
        <v>75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7" s="12">
        <v>0.09</v>
      </c>
      <c r="F17" s="12">
        <v>7.0000000000000007E-2</v>
      </c>
      <c r="G17" s="12">
        <v>0.42402826855123676</v>
      </c>
      <c r="H17" s="18">
        <v>10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LIV_38[[#This Row],[xPoints Av.]]*LIV_38[[#This Row],[Regularity]]</f>
        <v>1.2850117785630153</v>
      </c>
      <c r="Q17" s="11" t="s">
        <v>8</v>
      </c>
    </row>
    <row r="18" spans="1:17" ht="24" x14ac:dyDescent="0.45">
      <c r="A18" s="11" t="s">
        <v>274</v>
      </c>
      <c r="B18" s="11" t="s">
        <v>64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18" s="12">
        <v>7.0000000000000007E-2</v>
      </c>
      <c r="F18" s="12">
        <v>0.22</v>
      </c>
      <c r="G18" s="12">
        <v>0.41189931350114417</v>
      </c>
      <c r="H18" s="11">
        <v>9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LIV_38[[#This Row],[xPoints Av.]]*LIV_38[[#This Row],[Regularity]]</f>
        <v>1.1196940864747682</v>
      </c>
      <c r="Q18" s="11" t="s">
        <v>8</v>
      </c>
    </row>
    <row r="19" spans="1:17" ht="24" x14ac:dyDescent="0.45">
      <c r="A19" s="11" t="s">
        <v>275</v>
      </c>
      <c r="B19" s="11" t="s">
        <v>64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19" s="12">
        <v>0.02</v>
      </c>
      <c r="F19" s="12">
        <v>0</v>
      </c>
      <c r="G19" s="12">
        <v>0.36363636363636365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LIV_38[[#This Row],[xPoints Av.]]*LIV_38[[#This Row],[Regularity]]</f>
        <v>1.0347368421052632</v>
      </c>
      <c r="Q19" s="11" t="s">
        <v>8</v>
      </c>
    </row>
    <row r="20" spans="1:17" ht="24" x14ac:dyDescent="0.45">
      <c r="A20" s="11" t="s">
        <v>286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20" s="12">
        <v>0.04</v>
      </c>
      <c r="F20" s="12">
        <v>0.23</v>
      </c>
      <c r="G20" s="12">
        <v>0.42654028436018954</v>
      </c>
      <c r="H20" s="18">
        <v>8</v>
      </c>
      <c r="I20" s="18">
        <v>38</v>
      </c>
      <c r="J20" s="11"/>
      <c r="K20" s="11"/>
      <c r="L20" s="11"/>
      <c r="M20" s="11"/>
      <c r="N20" s="11">
        <v>1</v>
      </c>
      <c r="O20" s="11">
        <v>4</v>
      </c>
      <c r="P20" s="12">
        <f>LIV_38[[#This Row],[xPoints Av.]]*LIV_38[[#This Row],[Regularity]]</f>
        <v>0.6982190072337241</v>
      </c>
      <c r="Q20" s="11" t="s">
        <v>8</v>
      </c>
    </row>
    <row r="21" spans="1:17" ht="24" x14ac:dyDescent="0.45">
      <c r="A21" s="20" t="s">
        <v>284</v>
      </c>
      <c r="B21" s="11" t="s">
        <v>75</v>
      </c>
      <c r="C2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1" s="12">
        <v>0.14000000000000001</v>
      </c>
      <c r="F21" s="12">
        <v>0.15</v>
      </c>
      <c r="G21" s="12">
        <v>0.34749034749034752</v>
      </c>
      <c r="H21" s="11">
        <v>6</v>
      </c>
      <c r="I21" s="11">
        <v>38</v>
      </c>
      <c r="J21" s="11"/>
      <c r="K21" s="11"/>
      <c r="L21" s="11"/>
      <c r="M21" s="11"/>
      <c r="N21" s="11">
        <v>1</v>
      </c>
      <c r="O21" s="11">
        <v>4</v>
      </c>
      <c r="P21" s="12">
        <f>LIV_38[[#This Row],[xPoints Av.]]*LIV_38[[#This Row],[Regularity]]</f>
        <v>0.55223531802479164</v>
      </c>
      <c r="Q21" s="11" t="s">
        <v>8</v>
      </c>
    </row>
    <row r="22" spans="1:17" ht="24" x14ac:dyDescent="0.45">
      <c r="A22" s="11" t="s">
        <v>287</v>
      </c>
      <c r="B22" s="11" t="s">
        <v>75</v>
      </c>
      <c r="C2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7.83</v>
      </c>
      <c r="D2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2.7027027027027032E-2</v>
      </c>
      <c r="E22" s="12">
        <v>0.98</v>
      </c>
      <c r="F22" s="12">
        <v>0.31</v>
      </c>
      <c r="G22" s="12">
        <v>0</v>
      </c>
      <c r="H22" s="18">
        <v>1</v>
      </c>
      <c r="I22" s="18">
        <v>37</v>
      </c>
      <c r="J22" s="11"/>
      <c r="K22" s="11"/>
      <c r="L22" s="11"/>
      <c r="M22" s="11"/>
      <c r="N22" s="11">
        <v>1</v>
      </c>
      <c r="O22" s="11">
        <v>4</v>
      </c>
      <c r="P22" s="12">
        <f>LIV_38[[#This Row],[xPoints Av.]]*LIV_38[[#This Row],[Regularity]]</f>
        <v>0.21162162162162165</v>
      </c>
      <c r="Q22" s="11" t="s">
        <v>8</v>
      </c>
    </row>
  </sheetData>
  <dataValidations count="1">
    <dataValidation type="list" allowBlank="1" showInputMessage="1" showErrorMessage="1" sqref="B2:B22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activeCell="N8" sqref="N8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7</v>
      </c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>
        <v>8</v>
      </c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291</v>
      </c>
      <c r="B5" s="11" t="s">
        <v>62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5" s="12">
        <v>0</v>
      </c>
      <c r="F5" s="12">
        <v>0</v>
      </c>
      <c r="G5" s="12">
        <v>0.54054054054054057</v>
      </c>
      <c r="H5" s="11">
        <v>37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MCI_39[[#This Row],[xPoints Av.]]*MCI_39[[#This Row],[Regularity]]</f>
        <v>4.052631578947369</v>
      </c>
      <c r="Q5" s="11" t="s">
        <v>7</v>
      </c>
    </row>
    <row r="6" spans="1:17" ht="24" x14ac:dyDescent="0.45">
      <c r="A6" s="11" t="s">
        <v>301</v>
      </c>
      <c r="B6" s="11" t="s">
        <v>75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6" s="12">
        <v>0.24</v>
      </c>
      <c r="F6" s="12">
        <v>0.46</v>
      </c>
      <c r="G6" s="12">
        <v>0.53278688524590168</v>
      </c>
      <c r="H6" s="11">
        <v>23</v>
      </c>
      <c r="I6" s="11">
        <v>30</v>
      </c>
      <c r="J6" s="11"/>
      <c r="K6" s="11"/>
      <c r="L6" s="11"/>
      <c r="M6" s="11"/>
      <c r="N6" s="11">
        <v>1</v>
      </c>
      <c r="O6" s="11">
        <v>12</v>
      </c>
      <c r="P6" s="12">
        <f>MCI_39[[#This Row],[xPoints Av.]]*MCI_39[[#This Row],[Regularity]]</f>
        <v>3.9198032786885246</v>
      </c>
      <c r="Q6" s="11" t="s">
        <v>7</v>
      </c>
    </row>
    <row r="7" spans="1:17" ht="24" x14ac:dyDescent="0.45">
      <c r="A7" s="11" t="s">
        <v>302</v>
      </c>
      <c r="B7" s="11" t="s">
        <v>75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7" s="12">
        <v>0.67</v>
      </c>
      <c r="F7" s="12">
        <v>0.21</v>
      </c>
      <c r="G7" s="12">
        <v>0.55162659123055158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>
        <v>8</v>
      </c>
      <c r="P7" s="12">
        <f>MCI_39[[#This Row],[xPoints Av.]]*MCI_39[[#This Row],[Regularity]]</f>
        <v>3.7814680265018987</v>
      </c>
      <c r="Q7" s="11" t="s">
        <v>7</v>
      </c>
    </row>
    <row r="8" spans="1:17" ht="24" x14ac:dyDescent="0.45">
      <c r="A8" s="11" t="s">
        <v>304</v>
      </c>
      <c r="B8" s="11" t="s">
        <v>75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8" s="12">
        <v>0.39</v>
      </c>
      <c r="F8" s="12">
        <v>0.28999999999999998</v>
      </c>
      <c r="G8" s="12">
        <v>0.55058823529411771</v>
      </c>
      <c r="H8" s="11">
        <v>23</v>
      </c>
      <c r="I8" s="11">
        <v>34</v>
      </c>
      <c r="J8" s="11"/>
      <c r="K8" s="11"/>
      <c r="L8" s="11"/>
      <c r="M8" s="11"/>
      <c r="N8" s="11">
        <v>1</v>
      </c>
      <c r="O8" s="11">
        <v>8</v>
      </c>
      <c r="P8" s="12">
        <f>MCI_39[[#This Row],[xPoints Av.]]*MCI_39[[#This Row],[Regularity]]</f>
        <v>3.6330449826989626</v>
      </c>
      <c r="Q8" s="11" t="s">
        <v>7</v>
      </c>
    </row>
    <row r="9" spans="1:17" ht="24" x14ac:dyDescent="0.45">
      <c r="A9" s="11" t="s">
        <v>303</v>
      </c>
      <c r="B9" s="11" t="s">
        <v>75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9" s="12">
        <v>0.24</v>
      </c>
      <c r="F9" s="12">
        <v>0.21</v>
      </c>
      <c r="G9" s="12">
        <v>0.50420168067226889</v>
      </c>
      <c r="H9" s="11">
        <v>31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MCI_39[[#This Row],[xPoints Av.]]*MCI_39[[#This Row],[Regularity]]</f>
        <v>3.5357961079168509</v>
      </c>
      <c r="Q9" s="11" t="s">
        <v>7</v>
      </c>
    </row>
    <row r="10" spans="1:17" ht="24" x14ac:dyDescent="0.45">
      <c r="A10" s="11" t="s">
        <v>307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0" s="12">
        <v>0.47</v>
      </c>
      <c r="F10" s="12">
        <v>0.23</v>
      </c>
      <c r="G10" s="12">
        <v>0.68071312803889794</v>
      </c>
      <c r="H10" s="11">
        <v>19</v>
      </c>
      <c r="I10" s="11">
        <v>34</v>
      </c>
      <c r="J10" s="11"/>
      <c r="K10" s="11"/>
      <c r="L10" s="11"/>
      <c r="M10" s="11"/>
      <c r="N10" s="11">
        <v>1</v>
      </c>
      <c r="O10" s="11">
        <v>5</v>
      </c>
      <c r="P10" s="12">
        <f>MCI_39[[#This Row],[xPoints Av.]]*MCI_39[[#This Row],[Regularity]]</f>
        <v>3.1968691009629135</v>
      </c>
      <c r="Q10" s="11" t="s">
        <v>7</v>
      </c>
    </row>
    <row r="11" spans="1:17" ht="24" x14ac:dyDescent="0.45">
      <c r="A11" s="11" t="s">
        <v>308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0.26</v>
      </c>
      <c r="F11" s="12">
        <v>0.25</v>
      </c>
      <c r="G11" s="12">
        <v>0.70680628272251311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MCI_39[[#This Row],[xPoints Av.]]*MCI_39[[#This Row],[Regularity]]</f>
        <v>2.7539404794709288</v>
      </c>
      <c r="Q11" s="11" t="s">
        <v>7</v>
      </c>
    </row>
    <row r="12" spans="1:17" ht="24" x14ac:dyDescent="0.45">
      <c r="A12" s="11" t="s">
        <v>297</v>
      </c>
      <c r="B12" s="11" t="s">
        <v>64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12" s="12">
        <v>0.01</v>
      </c>
      <c r="F12" s="12">
        <v>7.0000000000000007E-2</v>
      </c>
      <c r="G12" s="12">
        <v>0.51282051282051277</v>
      </c>
      <c r="H12" s="11">
        <v>19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MCI_39[[#This Row],[xPoints Av.]]*MCI_39[[#This Row],[Regularity]]</f>
        <v>2.6485277088502892</v>
      </c>
      <c r="Q12" s="11" t="s">
        <v>7</v>
      </c>
    </row>
    <row r="13" spans="1:17" ht="24" x14ac:dyDescent="0.45">
      <c r="A13" s="11" t="s">
        <v>306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3" s="12">
        <v>0.08</v>
      </c>
      <c r="F13" s="12">
        <v>0.05</v>
      </c>
      <c r="G13" s="12">
        <v>0.53051317614424409</v>
      </c>
      <c r="H13" s="11">
        <v>32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MCI_39[[#This Row],[xPoints Av.]]*MCI_39[[#This Row],[Regularity]]</f>
        <v>2.5941163588583107</v>
      </c>
      <c r="Q13" s="11" t="s">
        <v>7</v>
      </c>
    </row>
    <row r="14" spans="1:17" ht="24" x14ac:dyDescent="0.45">
      <c r="A14" s="11" t="s">
        <v>309</v>
      </c>
      <c r="B14" s="11" t="s">
        <v>84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0.52631578947368418</v>
      </c>
      <c r="E14" s="12">
        <v>0.48</v>
      </c>
      <c r="F14" s="12">
        <v>0.28000000000000003</v>
      </c>
      <c r="G14" s="12">
        <v>0.52912880812399787</v>
      </c>
      <c r="H14" s="18">
        <v>20</v>
      </c>
      <c r="I14" s="18">
        <v>38</v>
      </c>
      <c r="J14" s="11"/>
      <c r="K14" s="11"/>
      <c r="L14" s="11"/>
      <c r="M14" s="11"/>
      <c r="N14" s="11">
        <v>1</v>
      </c>
      <c r="O14" s="11">
        <v>5</v>
      </c>
      <c r="P14" s="12">
        <f>MCI_39[[#This Row],[xPoints Av.]]*MCI_39[[#This Row],[Regularity]]</f>
        <v>2.5052631578947366</v>
      </c>
      <c r="Q14" s="11" t="s">
        <v>7</v>
      </c>
    </row>
    <row r="15" spans="1:17" ht="24" x14ac:dyDescent="0.45">
      <c r="A15" s="11" t="s">
        <v>305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5" s="12">
        <v>0.62</v>
      </c>
      <c r="F15" s="12">
        <v>0.24</v>
      </c>
      <c r="G15" s="12">
        <v>0.42424242424242425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>
        <v>5</v>
      </c>
      <c r="P15" s="12">
        <f>MCI_39[[#This Row],[xPoints Av.]]*MCI_39[[#This Row],[Regularity]]</f>
        <v>2.3626863226863226</v>
      </c>
      <c r="Q15" s="11" t="s">
        <v>7</v>
      </c>
    </row>
    <row r="16" spans="1:17" ht="24" x14ac:dyDescent="0.45">
      <c r="A16" s="11" t="s">
        <v>298</v>
      </c>
      <c r="B16" s="11" t="s">
        <v>64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16" s="12">
        <v>0.1</v>
      </c>
      <c r="F16" s="12">
        <v>0.01</v>
      </c>
      <c r="G16" s="12">
        <v>0.72515666965085046</v>
      </c>
      <c r="H16" s="11">
        <v>12</v>
      </c>
      <c r="I16" s="11">
        <v>34</v>
      </c>
      <c r="J16" s="11"/>
      <c r="K16" s="11"/>
      <c r="L16" s="11"/>
      <c r="M16" s="11"/>
      <c r="N16" s="11">
        <v>1</v>
      </c>
      <c r="O16" s="11">
        <v>4</v>
      </c>
      <c r="P16" s="12">
        <f>MCI_39[[#This Row],[xPoints Av.]]*MCI_39[[#This Row],[Regularity]]</f>
        <v>1.9519858865659065</v>
      </c>
      <c r="Q16" s="11" t="s">
        <v>7</v>
      </c>
    </row>
    <row r="17" spans="1:17" ht="24" x14ac:dyDescent="0.45">
      <c r="A17" s="11" t="s">
        <v>299</v>
      </c>
      <c r="B17" s="11" t="s">
        <v>64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17" s="12">
        <v>0.04</v>
      </c>
      <c r="F17" s="12">
        <v>0.2</v>
      </c>
      <c r="G17" s="12">
        <v>0.43103448275862072</v>
      </c>
      <c r="H17" s="11">
        <v>10</v>
      </c>
      <c r="I17" s="11">
        <v>28</v>
      </c>
      <c r="J17" s="11"/>
      <c r="K17" s="11"/>
      <c r="L17" s="11"/>
      <c r="M17" s="11"/>
      <c r="N17" s="11">
        <v>1</v>
      </c>
      <c r="O17" s="11">
        <v>4</v>
      </c>
      <c r="P17" s="12">
        <f>MCI_39[[#This Row],[xPoints Av.]]*MCI_39[[#This Row],[Regularity]]</f>
        <v>1.630049261083744</v>
      </c>
      <c r="Q17" s="11" t="s">
        <v>7</v>
      </c>
    </row>
    <row r="18" spans="1:17" ht="24" x14ac:dyDescent="0.45">
      <c r="A18" s="11" t="s">
        <v>300</v>
      </c>
      <c r="B18" s="11" t="s">
        <v>64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18" s="12">
        <v>0.13</v>
      </c>
      <c r="F18" s="12">
        <v>0.06</v>
      </c>
      <c r="G18" s="12">
        <v>0.48966267682263331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MCI_39[[#This Row],[xPoints Av.]]*MCI_39[[#This Row],[Regularity]]</f>
        <v>1.0355054120611649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7"/>
  <sheetViews>
    <sheetView workbookViewId="0">
      <selection activeCell="O12" sqref="O12"/>
    </sheetView>
  </sheetViews>
  <sheetFormatPr defaultRowHeight="15" x14ac:dyDescent="0.25"/>
  <cols>
    <col min="1" max="1" width="19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326</v>
      </c>
      <c r="B2" s="11" t="s">
        <v>84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2" s="12">
        <v>0.63</v>
      </c>
      <c r="F2" s="12">
        <v>0.16</v>
      </c>
      <c r="G2" s="12">
        <v>0.29339853300733498</v>
      </c>
      <c r="H2" s="11">
        <v>28</v>
      </c>
      <c r="I2" s="11">
        <v>32</v>
      </c>
      <c r="J2" s="11"/>
      <c r="K2" s="11"/>
      <c r="L2" s="11"/>
      <c r="M2" s="11"/>
      <c r="N2" s="11">
        <v>1</v>
      </c>
      <c r="O2" s="11">
        <v>12</v>
      </c>
      <c r="P2" s="12">
        <f>MUN_40[[#This Row],[xPoints Av.]]*MUN_40[[#This Row],[Regularity]]</f>
        <v>4.375</v>
      </c>
      <c r="Q2" s="11" t="s">
        <v>12</v>
      </c>
    </row>
    <row r="3" spans="1:17" ht="24" x14ac:dyDescent="0.45">
      <c r="A3" s="11" t="s">
        <v>319</v>
      </c>
      <c r="B3" s="11" t="s">
        <v>75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3" s="12">
        <v>0.27</v>
      </c>
      <c r="F3" s="12">
        <v>0.25</v>
      </c>
      <c r="G3" s="12">
        <v>0.23151125401929259</v>
      </c>
      <c r="H3" s="11">
        <v>36</v>
      </c>
      <c r="I3" s="11">
        <v>37</v>
      </c>
      <c r="J3" s="11"/>
      <c r="K3" s="11"/>
      <c r="L3" s="11"/>
      <c r="M3" s="11"/>
      <c r="N3" s="11">
        <v>1</v>
      </c>
      <c r="O3" s="11">
        <v>10</v>
      </c>
      <c r="P3" s="12">
        <f>MUN_40[[#This Row],[xPoints Av.]]*MUN_40[[#This Row],[Regularity]]</f>
        <v>4.2144433822890415</v>
      </c>
      <c r="Q3" s="11" t="s">
        <v>12</v>
      </c>
    </row>
    <row r="4" spans="1:17" ht="24" x14ac:dyDescent="0.45">
      <c r="A4" s="11" t="s">
        <v>313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4" s="12">
        <v>0.08</v>
      </c>
      <c r="F4" s="12">
        <v>0.01</v>
      </c>
      <c r="G4" s="12">
        <v>0.25069637883008355</v>
      </c>
      <c r="H4" s="11">
        <v>29</v>
      </c>
      <c r="I4" s="11">
        <v>31</v>
      </c>
      <c r="J4" s="11"/>
      <c r="K4" s="11"/>
      <c r="L4" s="11"/>
      <c r="M4" s="11"/>
      <c r="N4" s="11">
        <v>1</v>
      </c>
      <c r="O4" s="11">
        <v>6</v>
      </c>
      <c r="P4" s="12">
        <f>MUN_40[[#This Row],[xPoints Av.]]*MUN_40[[#This Row],[Regularity]]</f>
        <v>3.28615419175128</v>
      </c>
      <c r="Q4" s="11" t="s">
        <v>12</v>
      </c>
    </row>
    <row r="5" spans="1:17" ht="24" x14ac:dyDescent="0.45">
      <c r="A5" s="11" t="s">
        <v>312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5" s="12">
        <v>0.04</v>
      </c>
      <c r="F5" s="12">
        <v>0.01</v>
      </c>
      <c r="G5" s="12">
        <v>0.24603608529250956</v>
      </c>
      <c r="H5" s="11">
        <v>21</v>
      </c>
      <c r="I5" s="11">
        <v>21</v>
      </c>
      <c r="J5" s="11"/>
      <c r="K5" s="11"/>
      <c r="L5" s="11"/>
      <c r="M5" s="11"/>
      <c r="N5" s="11">
        <v>1</v>
      </c>
      <c r="O5" s="11">
        <v>6</v>
      </c>
      <c r="P5" s="12">
        <f>MUN_40[[#This Row],[xPoints Av.]]*MUN_40[[#This Row],[Regularity]]</f>
        <v>3.2541443411700381</v>
      </c>
      <c r="Q5" s="11" t="s">
        <v>12</v>
      </c>
    </row>
    <row r="6" spans="1:17" ht="24" x14ac:dyDescent="0.45">
      <c r="A6" s="11" t="s">
        <v>317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6" s="12">
        <v>0.01</v>
      </c>
      <c r="F6" s="12">
        <v>0.21</v>
      </c>
      <c r="G6" s="12">
        <v>0.16874999999999998</v>
      </c>
      <c r="H6" s="11">
        <v>18</v>
      </c>
      <c r="I6" s="11">
        <v>20</v>
      </c>
      <c r="J6" s="11"/>
      <c r="K6" s="11"/>
      <c r="L6" s="11"/>
      <c r="M6" s="11"/>
      <c r="N6" s="11">
        <v>1</v>
      </c>
      <c r="O6" s="11">
        <v>6</v>
      </c>
      <c r="P6" s="12">
        <f>MUN_40[[#This Row],[xPoints Av.]]*MUN_40[[#This Row],[Regularity]]</f>
        <v>3.0285000000000002</v>
      </c>
      <c r="Q6" s="11" t="s">
        <v>12</v>
      </c>
    </row>
    <row r="7" spans="1:17" ht="24" x14ac:dyDescent="0.45">
      <c r="A7" s="11" t="s">
        <v>311</v>
      </c>
      <c r="B7" s="11" t="s">
        <v>62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7" s="12">
        <v>0</v>
      </c>
      <c r="F7" s="12">
        <v>0</v>
      </c>
      <c r="G7" s="12">
        <v>0.21052631578947367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MUN_40[[#This Row],[xPoints Av.]]*MUN_40[[#This Row],[Regularity]]</f>
        <v>2.8421052631578947</v>
      </c>
      <c r="Q7" s="11" t="s">
        <v>12</v>
      </c>
    </row>
    <row r="8" spans="1:17" ht="24" x14ac:dyDescent="0.45">
      <c r="A8" s="11" t="s">
        <v>315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8" s="12">
        <v>0.01</v>
      </c>
      <c r="F8" s="12">
        <v>0.03</v>
      </c>
      <c r="G8" s="12">
        <v>0.22949426264343389</v>
      </c>
      <c r="H8" s="11">
        <v>27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MUN_40[[#This Row],[xPoints Av.]]*MUN_40[[#This Row],[Regularity]]</f>
        <v>2.588605636421589</v>
      </c>
      <c r="Q8" s="11" t="s">
        <v>12</v>
      </c>
    </row>
    <row r="9" spans="1:17" ht="24" x14ac:dyDescent="0.45">
      <c r="A9" s="11" t="s">
        <v>321</v>
      </c>
      <c r="B9" s="11" t="s">
        <v>75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9" s="12">
        <v>0.2</v>
      </c>
      <c r="F9" s="12">
        <v>0.19</v>
      </c>
      <c r="G9" s="12">
        <v>0.28511087645195354</v>
      </c>
      <c r="H9" s="11">
        <v>21</v>
      </c>
      <c r="I9" s="11">
        <v>35</v>
      </c>
      <c r="J9" s="11"/>
      <c r="K9" s="11"/>
      <c r="L9" s="11"/>
      <c r="M9" s="11"/>
      <c r="N9" s="11">
        <v>1</v>
      </c>
      <c r="O9" s="11">
        <v>8</v>
      </c>
      <c r="P9" s="12">
        <f>MUN_40[[#This Row],[xPoints Av.]]*MUN_40[[#This Row],[Regularity]]</f>
        <v>2.313066525871172</v>
      </c>
      <c r="Q9" s="11" t="s">
        <v>12</v>
      </c>
    </row>
    <row r="10" spans="1:17" ht="24" x14ac:dyDescent="0.45">
      <c r="A10" s="11" t="s">
        <v>322</v>
      </c>
      <c r="B10" s="11" t="s">
        <v>75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0" s="12">
        <v>0.04</v>
      </c>
      <c r="F10" s="12">
        <v>0.01</v>
      </c>
      <c r="G10" s="12">
        <v>0.30176026823134949</v>
      </c>
      <c r="H10" s="11">
        <v>27</v>
      </c>
      <c r="I10" s="11">
        <v>31</v>
      </c>
      <c r="J10" s="11"/>
      <c r="K10" s="11"/>
      <c r="L10" s="11"/>
      <c r="M10" s="11"/>
      <c r="N10" s="11">
        <v>1</v>
      </c>
      <c r="O10" s="11">
        <v>5</v>
      </c>
      <c r="P10" s="12">
        <f>MUN_40[[#This Row],[xPoints Av.]]*MUN_40[[#This Row],[Regularity]]</f>
        <v>2.2050815239434329</v>
      </c>
      <c r="Q10" s="11" t="s">
        <v>12</v>
      </c>
    </row>
    <row r="11" spans="1:17" ht="24" x14ac:dyDescent="0.45">
      <c r="A11" s="11" t="s">
        <v>314</v>
      </c>
      <c r="B11" s="11" t="s">
        <v>64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11" s="12">
        <v>0.02</v>
      </c>
      <c r="F11" s="12">
        <v>0.12</v>
      </c>
      <c r="G11" s="12">
        <v>0.27141133896260555</v>
      </c>
      <c r="H11" s="11">
        <v>19</v>
      </c>
      <c r="I11" s="11">
        <v>31</v>
      </c>
      <c r="J11" s="11"/>
      <c r="K11" s="11"/>
      <c r="L11" s="11"/>
      <c r="M11" s="11"/>
      <c r="N11" s="11">
        <v>1</v>
      </c>
      <c r="O11" s="11">
        <v>5</v>
      </c>
      <c r="P11" s="12">
        <f>MUN_40[[#This Row],[xPoints Av.]]*MUN_40[[#This Row],[Regularity]]</f>
        <v>2.1853955406825172</v>
      </c>
      <c r="Q11" s="11" t="s">
        <v>12</v>
      </c>
    </row>
    <row r="12" spans="1:17" ht="24" x14ac:dyDescent="0.45">
      <c r="A12" s="11" t="s">
        <v>320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2" s="12">
        <v>0.05</v>
      </c>
      <c r="F12" s="12">
        <v>0.1</v>
      </c>
      <c r="G12" s="12">
        <v>0.31095755182625862</v>
      </c>
      <c r="H12" s="11">
        <v>23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MUN_40[[#This Row],[xPoints Av.]]*MUN_40[[#This Row],[Regularity]]</f>
        <v>2.1226459255485142</v>
      </c>
      <c r="Q12" s="11" t="s">
        <v>12</v>
      </c>
    </row>
    <row r="13" spans="1:17" ht="24" x14ac:dyDescent="0.45">
      <c r="A13" s="11" t="s">
        <v>323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3" s="12">
        <v>0.21</v>
      </c>
      <c r="F13" s="12">
        <v>0.18</v>
      </c>
      <c r="G13" s="12">
        <v>0.14705882352941177</v>
      </c>
      <c r="H13" s="11">
        <v>13</v>
      </c>
      <c r="I13" s="11">
        <v>26</v>
      </c>
      <c r="J13" s="11"/>
      <c r="K13" s="11"/>
      <c r="L13" s="11"/>
      <c r="M13" s="11"/>
      <c r="N13" s="11">
        <v>1</v>
      </c>
      <c r="O13" s="11">
        <v>8</v>
      </c>
      <c r="P13" s="12">
        <f>MUN_40[[#This Row],[xPoints Av.]]*MUN_40[[#This Row],[Regularity]]</f>
        <v>1.868529411764706</v>
      </c>
      <c r="Q13" s="11" t="s">
        <v>12</v>
      </c>
    </row>
    <row r="14" spans="1:17" ht="24" x14ac:dyDescent="0.45">
      <c r="A14" s="11" t="s">
        <v>316</v>
      </c>
      <c r="B14" s="11" t="s">
        <v>64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14" s="12">
        <v>0.03</v>
      </c>
      <c r="F14" s="12">
        <v>0.04</v>
      </c>
      <c r="G14" s="12">
        <v>0.25041736227045075</v>
      </c>
      <c r="H14" s="11">
        <v>20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MUN_40[[#This Row],[xPoints Av.]]*MUN_40[[#This Row],[Regularity]]</f>
        <v>1.7377207626746332</v>
      </c>
      <c r="Q14" s="11" t="s">
        <v>12</v>
      </c>
    </row>
    <row r="15" spans="1:17" ht="24" x14ac:dyDescent="0.45">
      <c r="A15" s="13" t="s">
        <v>318</v>
      </c>
      <c r="B15" s="11" t="s">
        <v>64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15" s="12">
        <v>0.01</v>
      </c>
      <c r="F15" s="12">
        <v>0.05</v>
      </c>
      <c r="G15" s="12">
        <v>0.15058561070831011</v>
      </c>
      <c r="H15" s="11">
        <v>21</v>
      </c>
      <c r="I15" s="11">
        <v>34</v>
      </c>
      <c r="J15" s="11"/>
      <c r="K15" s="11"/>
      <c r="L15" s="11"/>
      <c r="M15" s="11"/>
      <c r="N15" s="11">
        <v>1</v>
      </c>
      <c r="O15" s="11">
        <v>4</v>
      </c>
      <c r="P15" s="12">
        <f>MUN_40[[#This Row],[xPoints Av.]]*MUN_40[[#This Row],[Regularity]]</f>
        <v>1.7370350382205308</v>
      </c>
      <c r="Q15" s="11" t="s">
        <v>12</v>
      </c>
    </row>
    <row r="16" spans="1:17" ht="24" x14ac:dyDescent="0.45">
      <c r="A16" s="11" t="s">
        <v>324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6" s="12">
        <v>0.22</v>
      </c>
      <c r="F16" s="12">
        <v>0.14000000000000001</v>
      </c>
      <c r="G16" s="12">
        <v>0.29801324503311255</v>
      </c>
      <c r="H16" s="11">
        <v>14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MUN_40[[#This Row],[xPoints Av.]]*MUN_40[[#This Row],[Regularity]]</f>
        <v>1.4066364586964097</v>
      </c>
      <c r="Q16" s="11" t="s">
        <v>12</v>
      </c>
    </row>
    <row r="17" spans="1:17" ht="24" x14ac:dyDescent="0.45">
      <c r="A17" s="11" t="s">
        <v>325</v>
      </c>
      <c r="B17" s="11" t="s">
        <v>75</v>
      </c>
      <c r="C1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2.540909090909091</v>
      </c>
      <c r="D1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0.44444444444444448</v>
      </c>
      <c r="E17" s="12">
        <v>0.01</v>
      </c>
      <c r="F17" s="12">
        <v>0.12</v>
      </c>
      <c r="G17" s="12">
        <v>0.13090909090909089</v>
      </c>
      <c r="H17" s="11">
        <v>16</v>
      </c>
      <c r="I17" s="11">
        <v>36</v>
      </c>
      <c r="J17" s="11"/>
      <c r="K17" s="11"/>
      <c r="L17" s="11"/>
      <c r="M17" s="11"/>
      <c r="N17" s="11">
        <v>1</v>
      </c>
      <c r="O17" s="11">
        <v>4</v>
      </c>
      <c r="P17" s="12">
        <f>MUN_40[[#This Row],[xPoints Av.]]*MUN_40[[#This Row],[Regularity]]</f>
        <v>1.1292929292929295</v>
      </c>
      <c r="Q17" s="11" t="s">
        <v>12</v>
      </c>
    </row>
  </sheetData>
  <dataValidations count="1">
    <dataValidation type="list" allowBlank="1" showInputMessage="1" showErrorMessage="1" sqref="B2:B17" xr:uid="{D0A99C46-88A7-4911-BD7D-2AB8936BAF5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activeCell="O6" sqref="O6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354</v>
      </c>
      <c r="B2" s="11" t="s">
        <v>84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2" s="12">
        <v>0.45</v>
      </c>
      <c r="F2" s="12">
        <v>0.03</v>
      </c>
      <c r="G2" s="12">
        <v>0.19480519480519481</v>
      </c>
      <c r="H2" s="18">
        <v>15</v>
      </c>
      <c r="I2" s="18">
        <v>15</v>
      </c>
      <c r="J2" s="11"/>
      <c r="K2" s="11"/>
      <c r="L2" s="11"/>
      <c r="M2" s="11"/>
      <c r="N2" s="11">
        <v>1</v>
      </c>
      <c r="O2" s="11">
        <v>8</v>
      </c>
      <c r="P2" s="12">
        <f>NEW_41[[#This Row],[xPoints Av.]]*NEW_41[[#This Row],[Regularity]]</f>
        <v>3.89</v>
      </c>
      <c r="Q2" s="11" t="s">
        <v>16</v>
      </c>
    </row>
    <row r="3" spans="1:17" ht="24" x14ac:dyDescent="0.45">
      <c r="A3" s="11" t="s">
        <v>344</v>
      </c>
      <c r="B3" s="11" t="s">
        <v>75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3" s="12">
        <v>0.36</v>
      </c>
      <c r="F3" s="12">
        <v>0.15</v>
      </c>
      <c r="G3" s="12">
        <f>4/(1031/90)</f>
        <v>0.3491755577109602</v>
      </c>
      <c r="H3" s="11">
        <v>11</v>
      </c>
      <c r="I3" s="11">
        <v>15</v>
      </c>
      <c r="J3" s="11"/>
      <c r="K3" s="11"/>
      <c r="L3" s="11"/>
      <c r="M3" s="11"/>
      <c r="N3" s="11">
        <v>1</v>
      </c>
      <c r="O3" s="11">
        <v>6</v>
      </c>
      <c r="P3" s="12">
        <f>NEW_41[[#This Row],[xPoints Av.]]*NEW_41[[#This Row],[Regularity]]</f>
        <v>3.3727287423213705</v>
      </c>
      <c r="Q3" s="11" t="s">
        <v>16</v>
      </c>
    </row>
    <row r="4" spans="1:17" ht="24" x14ac:dyDescent="0.45">
      <c r="A4" s="11" t="s">
        <v>335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4" s="12">
        <v>0.04</v>
      </c>
      <c r="F4" s="12">
        <v>0.05</v>
      </c>
      <c r="G4" s="12">
        <v>0.329134498171475</v>
      </c>
      <c r="H4" s="11">
        <v>26</v>
      </c>
      <c r="I4" s="11">
        <v>29</v>
      </c>
      <c r="J4" s="11"/>
      <c r="K4" s="11"/>
      <c r="L4" s="11"/>
      <c r="M4" s="11"/>
      <c r="N4" s="11">
        <v>1</v>
      </c>
      <c r="O4" s="11">
        <v>6</v>
      </c>
      <c r="P4" s="12">
        <f>NEW_41[[#This Row],[xPoints Av.]]*NEW_41[[#This Row],[Regularity]]</f>
        <v>3.3231030279252893</v>
      </c>
      <c r="Q4" s="11" t="s">
        <v>16</v>
      </c>
    </row>
    <row r="5" spans="1:17" ht="24" x14ac:dyDescent="0.45">
      <c r="A5" s="11" t="s">
        <v>341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5" s="12">
        <v>0.05</v>
      </c>
      <c r="F5" s="12">
        <v>0.05</v>
      </c>
      <c r="G5" s="12">
        <f>1/(429/90)</f>
        <v>0.20979020979020979</v>
      </c>
      <c r="H5" s="11">
        <v>4</v>
      </c>
      <c r="I5" s="11">
        <v>4</v>
      </c>
      <c r="J5" s="11"/>
      <c r="K5" s="11"/>
      <c r="L5" s="11"/>
      <c r="M5" s="11"/>
      <c r="N5" s="11">
        <v>1</v>
      </c>
      <c r="O5" s="11">
        <v>6</v>
      </c>
      <c r="P5" s="12">
        <f>NEW_41[[#This Row],[xPoints Av.]]*NEW_41[[#This Row],[Regularity]]</f>
        <v>3.2891608391608393</v>
      </c>
      <c r="Q5" s="11" t="s">
        <v>16</v>
      </c>
    </row>
    <row r="6" spans="1:17" ht="24" x14ac:dyDescent="0.45">
      <c r="A6" s="11" t="s">
        <v>333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6" s="12">
        <v>0.02</v>
      </c>
      <c r="F6" s="12">
        <v>0.11</v>
      </c>
      <c r="G6" s="12">
        <v>0.2821316614420063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NEW_41[[#This Row],[xPoints Av.]]*NEW_41[[#This Row],[Regularity]]</f>
        <v>3.0134961227520214</v>
      </c>
      <c r="Q6" s="11" t="s">
        <v>16</v>
      </c>
    </row>
    <row r="7" spans="1:17" ht="24" x14ac:dyDescent="0.45">
      <c r="A7" s="13" t="s">
        <v>349</v>
      </c>
      <c r="B7" s="11" t="s">
        <v>84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7" s="12">
        <v>0.18</v>
      </c>
      <c r="F7" s="12">
        <v>0.17</v>
      </c>
      <c r="G7" s="12">
        <v>0.28887303851640517</v>
      </c>
      <c r="H7" s="11">
        <v>31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NEW_41[[#This Row],[xPoints Av.]]*NEW_41[[#This Row],[Regularity]]</f>
        <v>2.8608571428571432</v>
      </c>
      <c r="Q7" s="11" t="s">
        <v>16</v>
      </c>
    </row>
    <row r="8" spans="1:17" ht="24" x14ac:dyDescent="0.45">
      <c r="A8" s="11" t="s">
        <v>328</v>
      </c>
      <c r="B8" s="11" t="s">
        <v>62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8" s="12">
        <v>0</v>
      </c>
      <c r="F8" s="12">
        <v>0</v>
      </c>
      <c r="G8" s="12">
        <v>0.30769230769230771</v>
      </c>
      <c r="H8" s="11">
        <v>27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NEW_41[[#This Row],[xPoints Av.]]*NEW_41[[#This Row],[Regularity]]</f>
        <v>2.6433566433566438</v>
      </c>
      <c r="Q8" s="11" t="s">
        <v>16</v>
      </c>
    </row>
    <row r="9" spans="1:17" ht="24" x14ac:dyDescent="0.45">
      <c r="A9" s="11" t="s">
        <v>350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9" s="12">
        <v>0.22</v>
      </c>
      <c r="F9" s="12">
        <v>7.0000000000000007E-2</v>
      </c>
      <c r="G9" s="12">
        <v>0.28887303851640517</v>
      </c>
      <c r="H9" s="18">
        <v>31</v>
      </c>
      <c r="I9" s="18">
        <v>37</v>
      </c>
      <c r="J9" s="11"/>
      <c r="K9" s="11"/>
      <c r="L9" s="11"/>
      <c r="M9" s="11"/>
      <c r="N9" s="11">
        <v>1</v>
      </c>
      <c r="O9" s="11">
        <v>5</v>
      </c>
      <c r="P9" s="12">
        <f>NEW_41[[#This Row],[xPoints Av.]]*NEW_41[[#This Row],[Regularity]]</f>
        <v>2.5889189189189188</v>
      </c>
      <c r="Q9" s="11" t="s">
        <v>16</v>
      </c>
    </row>
    <row r="10" spans="1:17" ht="24" x14ac:dyDescent="0.45">
      <c r="A10" s="11" t="s">
        <v>345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0" s="12">
        <v>0.04</v>
      </c>
      <c r="F10" s="12">
        <v>0.05</v>
      </c>
      <c r="G10" s="12">
        <v>0.27258960121150932</v>
      </c>
      <c r="H10" s="11">
        <v>22</v>
      </c>
      <c r="I10" s="11">
        <v>26</v>
      </c>
      <c r="J10" s="11"/>
      <c r="K10" s="11"/>
      <c r="L10" s="11"/>
      <c r="M10" s="11"/>
      <c r="N10" s="11">
        <v>1</v>
      </c>
      <c r="O10" s="11">
        <v>5</v>
      </c>
      <c r="P10" s="12">
        <f>NEW_41[[#This Row],[xPoints Av.]]*NEW_41[[#This Row],[Regularity]]</f>
        <v>2.2191142779482003</v>
      </c>
      <c r="Q10" s="11" t="s">
        <v>16</v>
      </c>
    </row>
    <row r="11" spans="1:17" ht="24" x14ac:dyDescent="0.45">
      <c r="A11" s="11" t="s">
        <v>353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2.73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1" s="12">
        <v>0.13</v>
      </c>
      <c r="F11" s="12">
        <v>7.0000000000000007E-2</v>
      </c>
      <c r="G11" s="12">
        <v>0.24667188723570871</v>
      </c>
      <c r="H11" s="18">
        <v>27</v>
      </c>
      <c r="I11" s="18">
        <v>34</v>
      </c>
      <c r="J11" s="11"/>
      <c r="K11" s="11"/>
      <c r="L11" s="11"/>
      <c r="M11" s="11"/>
      <c r="N11" s="11">
        <v>1</v>
      </c>
      <c r="O11" s="11">
        <v>5</v>
      </c>
      <c r="P11" s="12">
        <f>NEW_41[[#This Row],[xPoints Av.]]*NEW_41[[#This Row],[Regularity]]</f>
        <v>2.1679411764705883</v>
      </c>
      <c r="Q11" s="11" t="s">
        <v>16</v>
      </c>
    </row>
    <row r="12" spans="1:17" ht="24" x14ac:dyDescent="0.45">
      <c r="A12" s="11" t="s">
        <v>342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2" s="12">
        <v>0.16</v>
      </c>
      <c r="F12" s="12">
        <v>0.05</v>
      </c>
      <c r="G12" s="12">
        <v>0.26509572901325479</v>
      </c>
      <c r="H12" s="11">
        <v>22</v>
      </c>
      <c r="I12" s="11">
        <v>33</v>
      </c>
      <c r="J12" s="11"/>
      <c r="K12" s="11"/>
      <c r="L12" s="11"/>
      <c r="M12" s="11"/>
      <c r="N12" s="11">
        <v>1</v>
      </c>
      <c r="O12" s="11">
        <v>4</v>
      </c>
      <c r="P12" s="12">
        <f>NEW_41[[#This Row],[xPoints Av.]]*NEW_41[[#This Row],[Regularity]]</f>
        <v>2.1433971526755031</v>
      </c>
      <c r="Q12" s="11" t="s">
        <v>16</v>
      </c>
    </row>
    <row r="13" spans="1:17" ht="24" x14ac:dyDescent="0.45">
      <c r="A13" s="11" t="s">
        <v>337</v>
      </c>
      <c r="B13" s="11" t="s">
        <v>64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13" s="12">
        <v>0.03</v>
      </c>
      <c r="F13" s="12">
        <v>0.06</v>
      </c>
      <c r="G13" s="12">
        <v>0.25023169601482853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NEW_41[[#This Row],[xPoints Av.]]*NEW_41[[#This Row],[Regularity]]</f>
        <v>2.0342451587727428</v>
      </c>
      <c r="Q13" s="11" t="s">
        <v>16</v>
      </c>
    </row>
    <row r="14" spans="1:17" ht="24" x14ac:dyDescent="0.45">
      <c r="A14" s="11" t="s">
        <v>339</v>
      </c>
      <c r="B14" s="11" t="s">
        <v>64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14" s="12">
        <v>0.06</v>
      </c>
      <c r="F14" s="12">
        <v>0.01</v>
      </c>
      <c r="G14" s="12">
        <v>0.13138686131386862</v>
      </c>
      <c r="H14" s="11">
        <v>22</v>
      </c>
      <c r="I14" s="11">
        <v>37</v>
      </c>
      <c r="J14" s="11"/>
      <c r="K14" s="11"/>
      <c r="L14" s="11"/>
      <c r="M14" s="11"/>
      <c r="N14" s="11">
        <v>1</v>
      </c>
      <c r="O14" s="11">
        <v>4</v>
      </c>
      <c r="P14" s="12">
        <f>NEW_41[[#This Row],[xPoints Av.]]*NEW_41[[#This Row],[Regularity]]</f>
        <v>1.7335687512329849</v>
      </c>
      <c r="Q14" s="11" t="s">
        <v>16</v>
      </c>
    </row>
    <row r="15" spans="1:17" ht="24" x14ac:dyDescent="0.45">
      <c r="A15" s="11" t="s">
        <v>338</v>
      </c>
      <c r="B15" s="11" t="s">
        <v>64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15" s="12">
        <v>0.01</v>
      </c>
      <c r="F15" s="12">
        <v>0.06</v>
      </c>
      <c r="G15" s="12">
        <v>0.33007334963325186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NEW_41[[#This Row],[xPoints Av.]]*NEW_41[[#This Row],[Regularity]]</f>
        <v>1.6864547677261612</v>
      </c>
      <c r="Q15" s="11" t="s">
        <v>16</v>
      </c>
    </row>
    <row r="16" spans="1:17" ht="24" x14ac:dyDescent="0.45">
      <c r="A16" s="11" t="s">
        <v>347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6" s="12">
        <v>0.09</v>
      </c>
      <c r="F16" s="12">
        <v>0.05</v>
      </c>
      <c r="G16" s="12">
        <v>0.31652989449003516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NEW_41[[#This Row],[xPoints Av.]]*NEW_41[[#This Row],[Regularity]]</f>
        <v>1.5350157339421235</v>
      </c>
      <c r="Q16" s="11" t="s">
        <v>16</v>
      </c>
    </row>
    <row r="17" spans="1:17" ht="24" x14ac:dyDescent="0.45">
      <c r="A17" s="11" t="s">
        <v>343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7" s="12">
        <v>0.17</v>
      </c>
      <c r="F17" s="12">
        <v>0.13</v>
      </c>
      <c r="G17" s="12">
        <v>0.30843043180260449</v>
      </c>
      <c r="H17" s="11">
        <v>16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NEW_41[[#This Row],[xPoints Av.]]*NEW_41[[#This Row],[Regularity]]</f>
        <v>1.4940759712853071</v>
      </c>
      <c r="Q17" s="11" t="s">
        <v>16</v>
      </c>
    </row>
    <row r="18" spans="1:17" ht="24" x14ac:dyDescent="0.45">
      <c r="A18" s="11" t="s">
        <v>346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8" s="12">
        <v>0.16</v>
      </c>
      <c r="F18" s="12">
        <v>0.15</v>
      </c>
      <c r="G18" s="12">
        <v>0.12354152367879204</v>
      </c>
      <c r="H18" s="11">
        <v>14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NEW_41[[#This Row],[xPoints Av.]]*NEW_41[[#This Row],[Regularity]]</f>
        <v>1.2428837192500812</v>
      </c>
      <c r="Q18" s="11" t="s">
        <v>16</v>
      </c>
    </row>
    <row r="19" spans="1:17" ht="24" x14ac:dyDescent="0.45">
      <c r="A19" s="11" t="s">
        <v>340</v>
      </c>
      <c r="B19" s="11" t="s">
        <v>64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19" s="12">
        <v>0.03</v>
      </c>
      <c r="F19" s="12">
        <v>0.03</v>
      </c>
      <c r="G19" s="12">
        <v>7.1542130365659776E-2</v>
      </c>
      <c r="H19" s="11">
        <v>13</v>
      </c>
      <c r="I19" s="11">
        <v>36</v>
      </c>
      <c r="J19" s="11"/>
      <c r="K19" s="11"/>
      <c r="L19" s="11"/>
      <c r="M19" s="11"/>
      <c r="N19" s="11">
        <v>1</v>
      </c>
      <c r="O19" s="11">
        <v>4</v>
      </c>
      <c r="P19" s="12">
        <f>NEW_41[[#This Row],[xPoints Av.]]*NEW_41[[#This Row],[Regularity]]</f>
        <v>0.92306085497261958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>
        <v>4</v>
      </c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7"/>
  <sheetViews>
    <sheetView workbookViewId="0">
      <selection activeCell="K10" sqref="K10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3" t="s">
        <v>363</v>
      </c>
      <c r="B2" s="11" t="s">
        <v>75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2" s="12">
        <v>0.14000000000000001</v>
      </c>
      <c r="F2" s="12">
        <v>0.18</v>
      </c>
      <c r="G2" s="12">
        <v>0.19595645412130638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SOU_42[[#This Row],[xPoints Av.]]*SOU_42[[#This Row],[Regularity]]</f>
        <v>3.2551166407465004</v>
      </c>
      <c r="Q2" s="11" t="s">
        <v>20</v>
      </c>
    </row>
    <row r="3" spans="1:17" ht="24" x14ac:dyDescent="0.45">
      <c r="A3" s="11" t="s">
        <v>360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3" s="12">
        <v>0.05</v>
      </c>
      <c r="F3" s="12">
        <v>0.12</v>
      </c>
      <c r="G3" s="12">
        <v>0.28636363636363638</v>
      </c>
      <c r="H3" s="11">
        <v>24</v>
      </c>
      <c r="I3" s="11">
        <v>30</v>
      </c>
      <c r="J3" s="11"/>
      <c r="K3" s="11"/>
      <c r="L3" s="11"/>
      <c r="M3" s="11"/>
      <c r="N3" s="11">
        <v>1</v>
      </c>
      <c r="O3" s="11">
        <v>6</v>
      </c>
      <c r="P3" s="12">
        <f>SOU_42[[#This Row],[xPoints Av.]]*SOU_42[[#This Row],[Regularity]]</f>
        <v>3.0443636363636366</v>
      </c>
      <c r="Q3" s="11" t="s">
        <v>20</v>
      </c>
    </row>
    <row r="4" spans="1:17" ht="24" x14ac:dyDescent="0.45">
      <c r="A4" s="13" t="s">
        <v>359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4" s="12">
        <v>0.05</v>
      </c>
      <c r="F4" s="12">
        <v>0.11</v>
      </c>
      <c r="G4" s="12">
        <v>0.20532319391634982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SOU_42[[#This Row],[xPoints Av.]]*SOU_42[[#This Row],[Regularity]]</f>
        <v>2.780208069286016</v>
      </c>
      <c r="Q4" s="11" t="s">
        <v>20</v>
      </c>
    </row>
    <row r="5" spans="1:17" ht="24" x14ac:dyDescent="0.45">
      <c r="A5" s="11" t="s">
        <v>358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5" s="12">
        <v>0.1</v>
      </c>
      <c r="F5" s="12">
        <v>0.01</v>
      </c>
      <c r="G5" s="12">
        <v>0.2396348421453024</v>
      </c>
      <c r="H5" s="11">
        <v>28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SOU_42[[#This Row],[xPoints Av.]]*SOU_42[[#This Row],[Regularity]]</f>
        <v>2.6441869031651017</v>
      </c>
      <c r="Q5" s="11" t="s">
        <v>20</v>
      </c>
    </row>
    <row r="6" spans="1:17" ht="24" x14ac:dyDescent="0.45">
      <c r="A6" s="11" t="s">
        <v>361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6" s="12">
        <v>0.05</v>
      </c>
      <c r="F6" s="12">
        <v>0.02</v>
      </c>
      <c r="G6" s="12">
        <v>0.18175698418041061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SOU_42[[#This Row],[xPoints Av.]]*SOU_42[[#This Row],[Regularity]]</f>
        <v>2.5996024730287512</v>
      </c>
      <c r="Q6" s="11" t="s">
        <v>20</v>
      </c>
    </row>
    <row r="7" spans="1:17" ht="24" x14ac:dyDescent="0.45">
      <c r="A7" s="11" t="s">
        <v>365</v>
      </c>
      <c r="B7" s="11" t="s">
        <v>75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7" s="12">
        <v>0.05</v>
      </c>
      <c r="F7" s="12">
        <v>0.09</v>
      </c>
      <c r="G7" s="12">
        <v>0.21799307958477507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SOU_42[[#This Row],[xPoints Av.]]*SOU_42[[#This Row],[Regularity]]</f>
        <v>2.3056783828082317</v>
      </c>
      <c r="Q7" s="11" t="s">
        <v>20</v>
      </c>
    </row>
    <row r="8" spans="1:17" ht="24" x14ac:dyDescent="0.45">
      <c r="A8" s="14" t="s">
        <v>364</v>
      </c>
      <c r="B8" s="11" t="s">
        <v>75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8" s="12">
        <v>0.28999999999999998</v>
      </c>
      <c r="F8" s="12">
        <v>0.1</v>
      </c>
      <c r="G8" s="12">
        <v>0.35311427170181464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SOU_42[[#This Row],[xPoints Av.]]*SOU_42[[#This Row],[Regularity]]</f>
        <v>2.2675105185720557</v>
      </c>
      <c r="Q8" s="11" t="s">
        <v>20</v>
      </c>
    </row>
    <row r="9" spans="1:17" ht="24" x14ac:dyDescent="0.45">
      <c r="A9" s="11" t="s">
        <v>369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9" s="12">
        <v>0.37</v>
      </c>
      <c r="F9" s="12">
        <v>0.13</v>
      </c>
      <c r="G9" s="12">
        <v>0.22123893805309733</v>
      </c>
      <c r="H9" s="11">
        <v>22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SOU_42[[#This Row],[xPoints Av.]]*SOU_42[[#This Row],[Regularity]]</f>
        <v>2.2405263157894737</v>
      </c>
      <c r="Q9" s="11" t="s">
        <v>20</v>
      </c>
    </row>
    <row r="10" spans="1:17" ht="24" x14ac:dyDescent="0.45">
      <c r="A10" s="11" t="s">
        <v>370</v>
      </c>
      <c r="B10" s="11" t="s">
        <v>84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3.29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0.58333333333333337</v>
      </c>
      <c r="E10" s="12">
        <v>0.27</v>
      </c>
      <c r="F10" s="12">
        <v>7.0000000000000007E-2</v>
      </c>
      <c r="G10" s="12">
        <v>0.22854240731335704</v>
      </c>
      <c r="H10" s="11">
        <v>21</v>
      </c>
      <c r="I10" s="11">
        <v>36</v>
      </c>
      <c r="J10" s="11"/>
      <c r="K10" s="11"/>
      <c r="L10" s="11"/>
      <c r="M10" s="11"/>
      <c r="N10" s="11">
        <v>1</v>
      </c>
      <c r="O10" s="11">
        <v>4</v>
      </c>
      <c r="P10" s="12">
        <f>SOU_42[[#This Row],[xPoints Av.]]*SOU_42[[#This Row],[Regularity]]</f>
        <v>1.9191666666666669</v>
      </c>
      <c r="Q10" s="11" t="s">
        <v>20</v>
      </c>
    </row>
    <row r="11" spans="1:17" ht="24" x14ac:dyDescent="0.45">
      <c r="A11" s="11" t="s">
        <v>366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1" s="12">
        <v>0.08</v>
      </c>
      <c r="F11" s="12">
        <v>0.2</v>
      </c>
      <c r="G11" s="12">
        <v>0.19704433497536944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SOU_42[[#This Row],[xPoints Av.]]*SOU_42[[#This Row],[Regularity]]</f>
        <v>1.5985221674876848</v>
      </c>
      <c r="Q11" s="11" t="s">
        <v>20</v>
      </c>
    </row>
    <row r="12" spans="1:17" ht="24" x14ac:dyDescent="0.45">
      <c r="A12" s="14" t="s">
        <v>367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2" s="12">
        <v>0.17</v>
      </c>
      <c r="F12" s="12">
        <v>0.1</v>
      </c>
      <c r="G12" s="12">
        <v>0.18430034129692832</v>
      </c>
      <c r="H12" s="11">
        <v>14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SOU_42[[#This Row],[xPoints Av.]]*SOU_42[[#This Row],[Regularity]]</f>
        <v>1.4587563993174062</v>
      </c>
      <c r="Q12" s="11" t="s">
        <v>20</v>
      </c>
    </row>
    <row r="13" spans="1:17" ht="24" x14ac:dyDescent="0.45">
      <c r="A13" s="11" t="s">
        <v>357</v>
      </c>
      <c r="B13" s="11" t="s">
        <v>62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3" s="12">
        <v>0</v>
      </c>
      <c r="F13" s="12">
        <v>0</v>
      </c>
      <c r="G13" s="12">
        <v>0.29411764705882354</v>
      </c>
      <c r="H13" s="11">
        <v>17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SOU_42[[#This Row],[xPoints Av.]]*SOU_42[[#This Row],[Regularity]]</f>
        <v>1.4210526315789476</v>
      </c>
      <c r="Q13" s="11" t="s">
        <v>20</v>
      </c>
    </row>
    <row r="14" spans="1:17" ht="24" x14ac:dyDescent="0.45">
      <c r="A14" s="14" t="s">
        <v>371</v>
      </c>
      <c r="B14" s="11" t="s">
        <v>84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14" s="12">
        <v>0.27</v>
      </c>
      <c r="F14" s="12">
        <v>0.1</v>
      </c>
      <c r="G14" s="12">
        <v>0.255500354861604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SOU_42[[#This Row],[xPoints Av.]]*SOU_42[[#This Row],[Regularity]]</f>
        <v>1.3342105263157895</v>
      </c>
      <c r="Q14" s="11" t="s">
        <v>20</v>
      </c>
    </row>
    <row r="15" spans="1:17" ht="24" x14ac:dyDescent="0.45">
      <c r="A15" s="11" t="s">
        <v>362</v>
      </c>
      <c r="B15" s="11" t="s">
        <v>64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5" s="12">
        <v>0.04</v>
      </c>
      <c r="F15" s="12">
        <v>0.02</v>
      </c>
      <c r="G15" s="12">
        <v>0.1665638494756323</v>
      </c>
      <c r="H15" s="11">
        <v>17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SOU_42[[#This Row],[xPoints Av.]]*SOU_42[[#This Row],[Regularity]]</f>
        <v>1.3270089937984999</v>
      </c>
      <c r="Q15" s="11" t="s">
        <v>20</v>
      </c>
    </row>
    <row r="16" spans="1:17" ht="24" x14ac:dyDescent="0.45">
      <c r="A16" s="11" t="s">
        <v>372</v>
      </c>
      <c r="B16" s="11" t="s">
        <v>64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16" s="12">
        <v>0.03</v>
      </c>
      <c r="F16" s="12">
        <v>0.02</v>
      </c>
      <c r="G16" s="12">
        <v>9.9337748344370869E-2</v>
      </c>
      <c r="H16" s="18">
        <v>9</v>
      </c>
      <c r="I16" s="18">
        <v>25</v>
      </c>
      <c r="J16" s="11"/>
      <c r="K16" s="11"/>
      <c r="L16" s="11"/>
      <c r="M16" s="11"/>
      <c r="N16" s="11">
        <v>1</v>
      </c>
      <c r="O16" s="11">
        <v>4</v>
      </c>
      <c r="P16" s="12">
        <f>SOU_42[[#This Row],[xPoints Av.]]*SOU_42[[#This Row],[Regularity]]</f>
        <v>0.94944635761589402</v>
      </c>
      <c r="Q16" s="11" t="s">
        <v>20</v>
      </c>
    </row>
    <row r="17" spans="1:17" ht="24" x14ac:dyDescent="0.45">
      <c r="A17" s="11" t="s">
        <v>368</v>
      </c>
      <c r="B17" s="11" t="s">
        <v>75</v>
      </c>
      <c r="C1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7" s="12">
        <v>0.03</v>
      </c>
      <c r="F17" s="12">
        <v>0.09</v>
      </c>
      <c r="G17" s="12">
        <v>8.8582677165354326E-2</v>
      </c>
      <c r="H17" s="11">
        <v>9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SOU_42[[#This Row],[xPoints Av.]]*SOU_42[[#This Row],[Regularity]]</f>
        <v>0.59413800248653126</v>
      </c>
      <c r="Q17" s="11" t="s">
        <v>20</v>
      </c>
    </row>
  </sheetData>
  <dataValidations count="1">
    <dataValidation type="list" allowBlank="1" showInputMessage="1" showErrorMessage="1" sqref="B2:B17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1"/>
  <sheetViews>
    <sheetView workbookViewId="0">
      <selection activeCell="P26" sqref="P26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394</v>
      </c>
      <c r="B2" s="11" t="s">
        <v>84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2" s="12">
        <v>0.57999999999999996</v>
      </c>
      <c r="F2" s="12">
        <v>0.27</v>
      </c>
      <c r="G2" s="12">
        <v>0.38997214484679665</v>
      </c>
      <c r="H2" s="18">
        <v>36</v>
      </c>
      <c r="I2" s="18">
        <v>38</v>
      </c>
      <c r="J2" s="11"/>
      <c r="K2" s="11"/>
      <c r="L2" s="11"/>
      <c r="M2" s="11"/>
      <c r="N2" s="11">
        <v>1</v>
      </c>
      <c r="O2" s="11">
        <v>12</v>
      </c>
      <c r="P2" s="12">
        <f>TOT_43[[#This Row],[xPoints Av.]]*TOT_43[[#This Row],[Regularity]]</f>
        <v>4.8599999999999994</v>
      </c>
      <c r="Q2" s="11" t="s">
        <v>10</v>
      </c>
    </row>
    <row r="3" spans="1:17" ht="24" x14ac:dyDescent="0.45">
      <c r="A3" s="11" t="s">
        <v>386</v>
      </c>
      <c r="B3" s="11" t="s">
        <v>75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0.5</v>
      </c>
      <c r="F3" s="12">
        <v>0.13</v>
      </c>
      <c r="G3" s="12">
        <v>0.53838484546360921</v>
      </c>
      <c r="H3" s="11">
        <v>35</v>
      </c>
      <c r="I3" s="11">
        <v>35</v>
      </c>
      <c r="J3" s="11"/>
      <c r="K3" s="11"/>
      <c r="L3" s="11"/>
      <c r="M3" s="11"/>
      <c r="N3" s="11">
        <v>1</v>
      </c>
      <c r="O3" s="11">
        <v>10</v>
      </c>
      <c r="P3" s="12">
        <f>TOT_43[[#This Row],[xPoints Av.]]*TOT_43[[#This Row],[Regularity]]</f>
        <v>5.4283848454636097</v>
      </c>
      <c r="Q3" s="11" t="s">
        <v>10</v>
      </c>
    </row>
    <row r="4" spans="1:17" ht="24" x14ac:dyDescent="0.45">
      <c r="A4" s="11" t="s">
        <v>384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4" s="12">
        <v>0.03</v>
      </c>
      <c r="F4" s="12">
        <v>0.28000000000000003</v>
      </c>
      <c r="G4" s="12">
        <v>0.51625239005736134</v>
      </c>
      <c r="H4" s="11">
        <v>11</v>
      </c>
      <c r="I4" s="11">
        <v>13</v>
      </c>
      <c r="J4" s="11"/>
      <c r="K4" s="11"/>
      <c r="L4" s="11"/>
      <c r="M4" s="11"/>
      <c r="N4" s="11">
        <v>1</v>
      </c>
      <c r="O4" s="11">
        <v>8</v>
      </c>
      <c r="P4" s="12">
        <f>TOT_43[[#This Row],[xPoints Av.]]*TOT_43[[#This Row],[Regularity]]</f>
        <v>4.3027003971172233</v>
      </c>
      <c r="Q4" s="11" t="s">
        <v>10</v>
      </c>
    </row>
    <row r="5" spans="1:17" ht="24" x14ac:dyDescent="0.45">
      <c r="A5" s="11" t="s">
        <v>378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5" s="12">
        <v>0.05</v>
      </c>
      <c r="F5" s="12">
        <v>0.04</v>
      </c>
      <c r="G5" s="12">
        <v>0.46890263757733641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8</v>
      </c>
      <c r="P5" s="12">
        <f>TOT_43[[#This Row],[xPoints Av.]]*TOT_43[[#This Row],[Regularity]]</f>
        <v>4.2956105503093456</v>
      </c>
      <c r="Q5" s="11" t="s">
        <v>10</v>
      </c>
    </row>
    <row r="6" spans="1:17" ht="24" x14ac:dyDescent="0.45">
      <c r="A6" s="11" t="s">
        <v>388</v>
      </c>
      <c r="B6" s="11" t="s">
        <v>75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6" s="12">
        <v>0.21</v>
      </c>
      <c r="F6" s="12">
        <v>0.28999999999999998</v>
      </c>
      <c r="G6" s="12">
        <v>0.64336775218427322</v>
      </c>
      <c r="H6" s="11">
        <v>15</v>
      </c>
      <c r="I6" s="11">
        <v>18</v>
      </c>
      <c r="J6" s="11"/>
      <c r="K6" s="11"/>
      <c r="L6" s="11"/>
      <c r="M6" s="11"/>
      <c r="N6" s="11">
        <v>1</v>
      </c>
      <c r="O6" s="11">
        <v>6</v>
      </c>
      <c r="P6" s="12">
        <f>TOT_43[[#This Row],[xPoints Av.]]*TOT_43[[#This Row],[Regularity]]</f>
        <v>3.8028064601535614</v>
      </c>
      <c r="Q6" s="11" t="s">
        <v>10</v>
      </c>
    </row>
    <row r="7" spans="1:17" ht="24" x14ac:dyDescent="0.45">
      <c r="A7" s="11" t="s">
        <v>374</v>
      </c>
      <c r="B7" s="11" t="s">
        <v>62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</v>
      </c>
      <c r="F7" s="12">
        <v>0.01</v>
      </c>
      <c r="G7" s="12">
        <v>0.42105263157894735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TOT_43[[#This Row],[xPoints Av.]]*TOT_43[[#This Row],[Regularity]]</f>
        <v>3.6842105263157894</v>
      </c>
      <c r="Q7" s="11" t="s">
        <v>10</v>
      </c>
    </row>
    <row r="8" spans="1:17" ht="24" x14ac:dyDescent="0.45">
      <c r="A8" s="11" t="s">
        <v>381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8" s="12">
        <v>0.08</v>
      </c>
      <c r="F8" s="12">
        <v>0.1</v>
      </c>
      <c r="G8" s="12">
        <v>0.39439088518843124</v>
      </c>
      <c r="H8" s="11">
        <v>25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TOT_43[[#This Row],[xPoints Av.]]*TOT_43[[#This Row],[Regularity]]</f>
        <v>3.404346516213848</v>
      </c>
      <c r="Q8" s="11" t="s">
        <v>10</v>
      </c>
    </row>
    <row r="9" spans="1:17" ht="24" x14ac:dyDescent="0.45">
      <c r="A9" s="11" t="s">
        <v>380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9" s="12">
        <v>0.14000000000000001</v>
      </c>
      <c r="F9" s="12">
        <v>0.16</v>
      </c>
      <c r="G9" s="12">
        <v>0.42319749216300945</v>
      </c>
      <c r="H9" s="11">
        <v>21</v>
      </c>
      <c r="I9" s="11">
        <v>32</v>
      </c>
      <c r="J9" s="11"/>
      <c r="K9" s="11"/>
      <c r="L9" s="11"/>
      <c r="M9" s="11"/>
      <c r="N9" s="11">
        <v>1</v>
      </c>
      <c r="O9" s="11">
        <v>5</v>
      </c>
      <c r="P9" s="12">
        <f>TOT_43[[#This Row],[xPoints Av.]]*TOT_43[[#This Row],[Regularity]]</f>
        <v>3.2896434169278996</v>
      </c>
      <c r="Q9" s="11" t="s">
        <v>10</v>
      </c>
    </row>
    <row r="10" spans="1:17" ht="24" x14ac:dyDescent="0.45">
      <c r="A10" s="11" t="s">
        <v>379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10" s="12">
        <v>0.09</v>
      </c>
      <c r="F10" s="12">
        <v>0.02</v>
      </c>
      <c r="G10" s="12">
        <v>0.42569964525029563</v>
      </c>
      <c r="H10" s="11">
        <v>28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TOT_43[[#This Row],[xPoints Av.]]*TOT_43[[#This Row],[Regularity]]</f>
        <v>3.1704831649482395</v>
      </c>
      <c r="Q10" s="11" t="s">
        <v>10</v>
      </c>
    </row>
    <row r="11" spans="1:17" ht="24" x14ac:dyDescent="0.45">
      <c r="A11" s="11" t="s">
        <v>383</v>
      </c>
      <c r="B11" s="11" t="s">
        <v>64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1" s="12">
        <v>0.02</v>
      </c>
      <c r="F11" s="12">
        <v>0.02</v>
      </c>
      <c r="G11" s="12">
        <v>0.24403470715835143</v>
      </c>
      <c r="H11" s="11">
        <v>20</v>
      </c>
      <c r="I11" s="11">
        <v>20</v>
      </c>
      <c r="J11" s="11"/>
      <c r="K11" s="11"/>
      <c r="L11" s="11"/>
      <c r="M11" s="11"/>
      <c r="N11" s="11">
        <v>1</v>
      </c>
      <c r="O11" s="11">
        <v>5</v>
      </c>
      <c r="P11" s="12">
        <f>TOT_43[[#This Row],[xPoints Av.]]*TOT_43[[#This Row],[Regularity]]</f>
        <v>3.1561388286334058</v>
      </c>
      <c r="Q11" s="11" t="s">
        <v>10</v>
      </c>
    </row>
    <row r="12" spans="1:17" ht="24" x14ac:dyDescent="0.45">
      <c r="A12" s="11" t="s">
        <v>391</v>
      </c>
      <c r="B12" s="11" t="s">
        <v>75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2" s="12">
        <v>0.04</v>
      </c>
      <c r="F12" s="12">
        <v>0.2</v>
      </c>
      <c r="G12" s="12">
        <v>0.59558823529411764</v>
      </c>
      <c r="H12" s="18">
        <v>15</v>
      </c>
      <c r="I12" s="18">
        <v>17</v>
      </c>
      <c r="J12" s="11"/>
      <c r="K12" s="11"/>
      <c r="L12" s="11"/>
      <c r="M12" s="11"/>
      <c r="N12" s="11">
        <v>1</v>
      </c>
      <c r="O12" s="11">
        <v>5</v>
      </c>
      <c r="P12" s="12">
        <f>TOT_43[[#This Row],[xPoints Av.]]*TOT_43[[#This Row],[Regularity]]</f>
        <v>2.9961072664359865</v>
      </c>
      <c r="Q12" s="11" t="s">
        <v>10</v>
      </c>
    </row>
    <row r="13" spans="1:17" ht="24" x14ac:dyDescent="0.45">
      <c r="A13" s="11" t="s">
        <v>387</v>
      </c>
      <c r="B13" s="11" t="s">
        <v>75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3" s="12">
        <v>7.0000000000000007E-2</v>
      </c>
      <c r="F13" s="12">
        <v>7.0000000000000007E-2</v>
      </c>
      <c r="G13" s="12">
        <v>0.45056320400500621</v>
      </c>
      <c r="H13" s="11">
        <v>35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TOT_43[[#This Row],[xPoints Av.]]*TOT_43[[#This Row],[Regularity]]</f>
        <v>2.772887161583558</v>
      </c>
      <c r="Q13" s="11" t="s">
        <v>10</v>
      </c>
    </row>
    <row r="14" spans="1:17" ht="24" x14ac:dyDescent="0.45">
      <c r="A14" s="11" t="s">
        <v>130</v>
      </c>
      <c r="B14" s="11" t="s">
        <v>64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14" s="12">
        <v>0.11</v>
      </c>
      <c r="F14" s="12">
        <v>0.02</v>
      </c>
      <c r="G14" s="12">
        <v>0.55350553505535061</v>
      </c>
      <c r="H14" s="11">
        <v>17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TOT_43[[#This Row],[xPoints Av.]]*TOT_43[[#This Row],[Regularity]]</f>
        <v>2.3299548995489952</v>
      </c>
      <c r="Q14" s="11" t="s">
        <v>10</v>
      </c>
    </row>
    <row r="15" spans="1:17" ht="24" x14ac:dyDescent="0.45">
      <c r="A15" s="11" t="s">
        <v>392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5" s="12">
        <v>0.02</v>
      </c>
      <c r="F15" s="12">
        <v>0.05</v>
      </c>
      <c r="G15" s="12">
        <v>0.53491827637444278</v>
      </c>
      <c r="H15" s="18">
        <v>14</v>
      </c>
      <c r="I15" s="18">
        <v>18</v>
      </c>
      <c r="J15" s="11"/>
      <c r="K15" s="11"/>
      <c r="L15" s="11"/>
      <c r="M15" s="11"/>
      <c r="N15" s="11">
        <v>1</v>
      </c>
      <c r="O15" s="11">
        <v>4</v>
      </c>
      <c r="P15" s="12">
        <f>TOT_43[[#This Row],[xPoints Av.]]*TOT_43[[#This Row],[Regularity]]</f>
        <v>2.1660475482912331</v>
      </c>
      <c r="Q15" s="11" t="s">
        <v>10</v>
      </c>
    </row>
    <row r="16" spans="1:17" ht="24" x14ac:dyDescent="0.45">
      <c r="A16" s="11" t="s">
        <v>389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16" s="12">
        <v>0.17</v>
      </c>
      <c r="F16" s="12">
        <v>0.27</v>
      </c>
      <c r="G16" s="12">
        <v>0.40839478162223486</v>
      </c>
      <c r="H16" s="11">
        <v>17</v>
      </c>
      <c r="I16" s="11">
        <v>33</v>
      </c>
      <c r="J16" s="11"/>
      <c r="K16" s="11"/>
      <c r="L16" s="11"/>
      <c r="M16" s="11"/>
      <c r="N16" s="11">
        <v>1</v>
      </c>
      <c r="O16" s="11">
        <v>4</v>
      </c>
      <c r="P16" s="12">
        <f>TOT_43[[#This Row],[xPoints Av.]]*TOT_43[[#This Row],[Regularity]]</f>
        <v>2.0958397359872118</v>
      </c>
      <c r="Q16" s="11" t="s">
        <v>10</v>
      </c>
    </row>
    <row r="17" spans="1:17" ht="24" x14ac:dyDescent="0.45">
      <c r="A17" s="11" t="s">
        <v>385</v>
      </c>
      <c r="B17" s="11" t="s">
        <v>64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17" s="12">
        <v>0.05</v>
      </c>
      <c r="F17" s="12">
        <v>0.03</v>
      </c>
      <c r="G17" s="12">
        <v>0.61224489795918369</v>
      </c>
      <c r="H17" s="11">
        <v>7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TOT_43[[#This Row],[xPoints Av.]]*TOT_43[[#This Row],[Regularity]]</f>
        <v>1.8818253968253968</v>
      </c>
      <c r="Q17" s="11" t="s">
        <v>10</v>
      </c>
    </row>
    <row r="18" spans="1:17" ht="24" x14ac:dyDescent="0.45">
      <c r="A18" s="11" t="s">
        <v>382</v>
      </c>
      <c r="B18" s="11" t="s">
        <v>64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8" s="12">
        <v>0.32</v>
      </c>
      <c r="F18" s="12">
        <v>0.21</v>
      </c>
      <c r="G18" s="12">
        <v>0.30998851894374285</v>
      </c>
      <c r="H18" s="11">
        <v>8</v>
      </c>
      <c r="I18" s="11">
        <v>28</v>
      </c>
      <c r="J18" s="11"/>
      <c r="K18" s="11"/>
      <c r="L18" s="11"/>
      <c r="M18" s="11"/>
      <c r="N18" s="11">
        <v>1</v>
      </c>
      <c r="O18" s="11">
        <v>4</v>
      </c>
      <c r="P18" s="12">
        <f>TOT_43[[#This Row],[xPoints Av.]]*TOT_43[[#This Row],[Regularity]]</f>
        <v>1.6542725930785633</v>
      </c>
      <c r="Q18" s="11" t="s">
        <v>10</v>
      </c>
    </row>
    <row r="19" spans="1:17" ht="24" x14ac:dyDescent="0.45">
      <c r="A19" s="11" t="s">
        <v>390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19" s="12">
        <v>0.57999999999999996</v>
      </c>
      <c r="F19" s="12">
        <v>0.27</v>
      </c>
      <c r="G19" s="12">
        <v>0.49270072992700731</v>
      </c>
      <c r="H19" s="11">
        <v>4</v>
      </c>
      <c r="I19" s="11">
        <v>26</v>
      </c>
      <c r="J19" s="11"/>
      <c r="K19" s="11"/>
      <c r="L19" s="11"/>
      <c r="M19" s="11"/>
      <c r="N19" s="11">
        <v>1</v>
      </c>
      <c r="O19" s="11">
        <v>4</v>
      </c>
      <c r="P19" s="12">
        <f>TOT_43[[#This Row],[xPoints Av.]]*TOT_43[[#This Row],[Regularity]]</f>
        <v>0.95426165075800129</v>
      </c>
      <c r="Q19" s="11" t="s">
        <v>10</v>
      </c>
    </row>
    <row r="20" spans="1:17" ht="24" x14ac:dyDescent="0.45">
      <c r="A20" s="11" t="s">
        <v>356</v>
      </c>
      <c r="B20" s="11" t="s">
        <v>62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20" s="12">
        <v>0</v>
      </c>
      <c r="F20" s="12">
        <v>0</v>
      </c>
      <c r="G20" s="12">
        <v>0.15789473684210525</v>
      </c>
      <c r="H20" s="11">
        <v>19</v>
      </c>
      <c r="I20" s="11">
        <v>35</v>
      </c>
      <c r="J20" s="11"/>
      <c r="K20" s="11"/>
      <c r="L20" s="11"/>
      <c r="M20" s="11"/>
      <c r="N20" s="11">
        <v>1</v>
      </c>
      <c r="O20" s="11">
        <v>4</v>
      </c>
      <c r="P20" s="12">
        <f>TOT_43[[#This Row],[xPoints Av.]]*TOT_43[[#This Row],[Regularity]]</f>
        <v>1.4285714285714286</v>
      </c>
      <c r="Q20" s="11" t="s">
        <v>10</v>
      </c>
    </row>
    <row r="21" spans="1:17" ht="24" x14ac:dyDescent="0.45">
      <c r="A21" s="11" t="s">
        <v>393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1" s="12">
        <v>0.01</v>
      </c>
      <c r="F21" s="12">
        <v>0.15</v>
      </c>
      <c r="G21" s="12">
        <v>9.9557522123893807E-2</v>
      </c>
      <c r="H21" s="18">
        <v>8</v>
      </c>
      <c r="I21" s="18">
        <v>38</v>
      </c>
      <c r="J21" s="11"/>
      <c r="K21" s="11"/>
      <c r="L21" s="11"/>
      <c r="M21" s="11"/>
      <c r="N21" s="11">
        <v>1</v>
      </c>
      <c r="O21" s="11">
        <v>4</v>
      </c>
      <c r="P21" s="12">
        <f>TOT_43[[#This Row],[xPoints Av.]]*TOT_43[[#This Row],[Regularity]]</f>
        <v>0.54727526781555658</v>
      </c>
      <c r="Q21" s="11" t="s">
        <v>10</v>
      </c>
    </row>
  </sheetData>
  <dataValidations count="1">
    <dataValidation type="list" allowBlank="1" showInputMessage="1" showErrorMessage="1" sqref="B2:B21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19"/>
  <sheetViews>
    <sheetView workbookViewId="0">
      <selection activeCell="L7" sqref="L7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>
        <v>5</v>
      </c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>
        <v>5</v>
      </c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>
        <v>5</v>
      </c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>
        <v>4</v>
      </c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ARS_26[[#This Row],[xPoints Av.]]*ARS_26[[#This Row],[Regularity]]</f>
        <v>0.48000000000000004</v>
      </c>
      <c r="Q19" s="11" t="s">
        <v>11</v>
      </c>
    </row>
  </sheetData>
  <dataValidations count="1">
    <dataValidation type="list" allowBlank="1" showInputMessage="1" showErrorMessage="1" sqref="B2:B19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A17" sqref="A17:XFD20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405</v>
      </c>
      <c r="B2" s="11" t="s">
        <v>75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2" s="12">
        <v>0.39</v>
      </c>
      <c r="F2" s="12">
        <v>0.17</v>
      </c>
      <c r="G2" s="12">
        <v>0.24104452628054904</v>
      </c>
      <c r="H2" s="11">
        <v>33</v>
      </c>
      <c r="I2" s="11">
        <v>38</v>
      </c>
      <c r="J2" s="11"/>
      <c r="K2" s="11"/>
      <c r="L2" s="11"/>
      <c r="M2" s="11"/>
      <c r="N2" s="11">
        <v>1</v>
      </c>
      <c r="O2" s="11">
        <v>8</v>
      </c>
      <c r="P2" s="12">
        <f>WHU_44[[#This Row],[xPoints Av.]]*WHU_44[[#This Row],[Regularity]]</f>
        <v>4.0824860359804775</v>
      </c>
      <c r="Q2" s="11" t="s">
        <v>13</v>
      </c>
    </row>
    <row r="3" spans="1:17" ht="24" x14ac:dyDescent="0.45">
      <c r="A3" s="11" t="s">
        <v>412</v>
      </c>
      <c r="B3" s="11" t="s">
        <v>84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0.38</v>
      </c>
      <c r="F3" s="12">
        <v>0.17</v>
      </c>
      <c r="G3" s="12">
        <v>0.21176470588235294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WHU_44[[#This Row],[xPoints Av.]]*WHU_44[[#This Row],[Regularity]]</f>
        <v>3.2876315789473685</v>
      </c>
      <c r="Q3" s="11" t="s">
        <v>13</v>
      </c>
    </row>
    <row r="4" spans="1:17" ht="24" x14ac:dyDescent="0.45">
      <c r="A4" s="11" t="s">
        <v>404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4" s="12">
        <v>0.06</v>
      </c>
      <c r="F4" s="12">
        <v>0</v>
      </c>
      <c r="G4" s="12">
        <v>0.29315960912052119</v>
      </c>
      <c r="H4" s="11">
        <v>10</v>
      </c>
      <c r="I4" s="11">
        <v>11</v>
      </c>
      <c r="J4" s="11"/>
      <c r="K4" s="11"/>
      <c r="L4" s="11"/>
      <c r="M4" s="11"/>
      <c r="N4" s="11">
        <v>1</v>
      </c>
      <c r="O4" s="11">
        <v>6</v>
      </c>
      <c r="P4" s="12">
        <f>WHU_44[[#This Row],[xPoints Av.]]*WHU_44[[#This Row],[Regularity]]</f>
        <v>3.2114894877109865</v>
      </c>
      <c r="Q4" s="11" t="s">
        <v>13</v>
      </c>
    </row>
    <row r="5" spans="1:17" ht="24" x14ac:dyDescent="0.45">
      <c r="A5" s="11" t="s">
        <v>407</v>
      </c>
      <c r="B5" s="11" t="s">
        <v>75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5" s="12">
        <v>0.16</v>
      </c>
      <c r="F5" s="12">
        <v>0.19</v>
      </c>
      <c r="G5" s="12">
        <v>0.25760286225402501</v>
      </c>
      <c r="H5" s="11">
        <v>30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WHU_44[[#This Row],[xPoints Av.]]*WHU_44[[#This Row],[Regularity]]</f>
        <v>2.8638969965163357</v>
      </c>
      <c r="Q5" s="11" t="s">
        <v>13</v>
      </c>
    </row>
    <row r="6" spans="1:17" ht="24" x14ac:dyDescent="0.45">
      <c r="A6" s="11" t="s">
        <v>400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6" s="12">
        <v>0.1</v>
      </c>
      <c r="F6" s="12">
        <v>0.03</v>
      </c>
      <c r="G6" s="12">
        <v>0.19622093023255813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WHU_44[[#This Row],[xPoints Av.]]*WHU_44[[#This Row],[Regularity]]</f>
        <v>2.8347735618115055</v>
      </c>
      <c r="Q6" s="11" t="s">
        <v>13</v>
      </c>
    </row>
    <row r="7" spans="1:17" ht="24" x14ac:dyDescent="0.45">
      <c r="A7" s="11" t="s">
        <v>408</v>
      </c>
      <c r="B7" s="11" t="s">
        <v>75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7" s="12">
        <v>0.16</v>
      </c>
      <c r="F7" s="12">
        <v>0.06</v>
      </c>
      <c r="G7" s="12">
        <v>0.17641293694870958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WHU_44[[#This Row],[xPoints Av.]]*WHU_44[[#This Row],[Regularity]]</f>
        <v>2.8241589435856875</v>
      </c>
      <c r="Q7" s="11" t="s">
        <v>13</v>
      </c>
    </row>
    <row r="8" spans="1:17" ht="24" x14ac:dyDescent="0.45">
      <c r="A8" s="11" t="s">
        <v>396</v>
      </c>
      <c r="B8" s="11" t="s">
        <v>62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8" s="12">
        <v>0</v>
      </c>
      <c r="F8" s="12">
        <v>0</v>
      </c>
      <c r="G8" s="12">
        <v>0.21621621621621623</v>
      </c>
      <c r="H8" s="11">
        <v>37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WHU_44[[#This Row],[xPoints Av.]]*WHU_44[[#This Row],[Regularity]]</f>
        <v>2.7894736842105265</v>
      </c>
      <c r="Q8" s="11" t="s">
        <v>13</v>
      </c>
    </row>
    <row r="9" spans="1:17" ht="24" x14ac:dyDescent="0.45">
      <c r="A9" s="11" t="s">
        <v>406</v>
      </c>
      <c r="B9" s="11" t="s">
        <v>75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9" s="12">
        <v>0.25</v>
      </c>
      <c r="F9" s="12">
        <v>0.19</v>
      </c>
      <c r="G9" s="12">
        <v>0.37465309898242366</v>
      </c>
      <c r="H9" s="11">
        <v>24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WHU_44[[#This Row],[xPoints Av.]]*WHU_44[[#This Row],[Regularity]]</f>
        <v>2.6492545888310044</v>
      </c>
      <c r="Q9" s="11" t="s">
        <v>13</v>
      </c>
    </row>
    <row r="10" spans="1:17" ht="24" x14ac:dyDescent="0.45">
      <c r="A10" s="11" t="s">
        <v>402</v>
      </c>
      <c r="B10" s="11" t="s">
        <v>64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10" s="12">
        <v>0.04</v>
      </c>
      <c r="F10" s="12">
        <v>0</v>
      </c>
      <c r="G10" s="12">
        <v>0.21655437921077961</v>
      </c>
      <c r="H10" s="11">
        <v>23</v>
      </c>
      <c r="I10" s="11">
        <v>27</v>
      </c>
      <c r="J10" s="11"/>
      <c r="K10" s="11"/>
      <c r="L10" s="11"/>
      <c r="M10" s="11"/>
      <c r="N10" s="11">
        <v>1</v>
      </c>
      <c r="O10" s="11">
        <v>5</v>
      </c>
      <c r="P10" s="12">
        <f>WHU_44[[#This Row],[xPoints Av.]]*WHU_44[[#This Row],[Regularity]]</f>
        <v>2.6460371439774719</v>
      </c>
      <c r="Q10" s="11" t="s">
        <v>13</v>
      </c>
    </row>
    <row r="11" spans="1:17" ht="24" x14ac:dyDescent="0.45">
      <c r="A11" s="11" t="s">
        <v>399</v>
      </c>
      <c r="B11" s="11" t="s">
        <v>64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11" s="12">
        <v>0.03</v>
      </c>
      <c r="F11" s="12">
        <v>0.12</v>
      </c>
      <c r="G11" s="12">
        <v>0.23110785033015407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WHU_44[[#This Row],[xPoints Av.]]*WHU_44[[#This Row],[Regularity]]</f>
        <v>2.6439081746920494</v>
      </c>
      <c r="Q11" s="11" t="s">
        <v>13</v>
      </c>
    </row>
    <row r="12" spans="1:17" ht="24" x14ac:dyDescent="0.45">
      <c r="A12" s="11" t="s">
        <v>409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2" s="12">
        <v>0.03</v>
      </c>
      <c r="F12" s="12">
        <v>0.04</v>
      </c>
      <c r="G12" s="12">
        <v>0.22655758338577722</v>
      </c>
      <c r="H12" s="11">
        <v>35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WHU_44[[#This Row],[xPoints Av.]]*WHU_44[[#This Row],[Regularity]]</f>
        <v>2.2994609320658475</v>
      </c>
      <c r="Q12" s="11" t="s">
        <v>13</v>
      </c>
    </row>
    <row r="13" spans="1:17" ht="24" x14ac:dyDescent="0.45">
      <c r="A13" s="11" t="s">
        <v>401</v>
      </c>
      <c r="B13" s="11" t="s">
        <v>64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13" s="12">
        <v>0.02</v>
      </c>
      <c r="F13" s="12">
        <v>0.11</v>
      </c>
      <c r="G13" s="12">
        <v>0.24467603081105574</v>
      </c>
      <c r="H13" s="11">
        <v>25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WHU_44[[#This Row],[xPoints Av.]]*WHU_44[[#This Row],[Regularity]]</f>
        <v>2.2557263968711996</v>
      </c>
      <c r="Q13" s="11" t="s">
        <v>13</v>
      </c>
    </row>
    <row r="14" spans="1:17" ht="24" x14ac:dyDescent="0.45">
      <c r="A14" s="11" t="s">
        <v>410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4" s="12">
        <v>0.17</v>
      </c>
      <c r="F14" s="12">
        <v>0.13</v>
      </c>
      <c r="G14" s="12">
        <v>0.20258863252673046</v>
      </c>
      <c r="H14" s="11">
        <v>18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WHU_44[[#This Row],[xPoints Av.]]*WHU_44[[#This Row],[Regularity]]</f>
        <v>1.6306998785652933</v>
      </c>
      <c r="Q14" s="11" t="s">
        <v>13</v>
      </c>
    </row>
    <row r="15" spans="1:17" ht="24" x14ac:dyDescent="0.45">
      <c r="A15" s="11" t="s">
        <v>403</v>
      </c>
      <c r="B15" s="11" t="s">
        <v>64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15" s="12">
        <v>0.01</v>
      </c>
      <c r="F15" s="12">
        <v>0.04</v>
      </c>
      <c r="G15" s="12">
        <v>0.19327129563350035</v>
      </c>
      <c r="H15" s="11">
        <v>14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WHU_44[[#This Row],[xPoints Av.]]*WHU_44[[#This Row],[Regularity]]</f>
        <v>1.0879787514598953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>
        <v>4</v>
      </c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7"/>
  <sheetViews>
    <sheetView workbookViewId="0">
      <selection activeCell="R13" sqref="R13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414</v>
      </c>
      <c r="B4" s="11" t="s">
        <v>62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4" s="12">
        <v>0</v>
      </c>
      <c r="F4" s="12">
        <v>0.01</v>
      </c>
      <c r="G4" s="12">
        <v>0.30136986301369861</v>
      </c>
      <c r="H4" s="11">
        <v>36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WOL_45[[#This Row],[xPoints Av.]]*WOL_45[[#This Row],[Regularity]]</f>
        <v>3.0367700072098049</v>
      </c>
      <c r="Q4" s="11" t="s">
        <v>15</v>
      </c>
    </row>
    <row r="5" spans="1:17" ht="24" x14ac:dyDescent="0.45">
      <c r="A5" s="11" t="s">
        <v>434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5" s="12">
        <v>0.06</v>
      </c>
      <c r="F5" s="12">
        <v>0.06</v>
      </c>
      <c r="G5" s="12">
        <v>0.38010323791647116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WOL_45[[#This Row],[xPoints Av.]]*WOL_45[[#This Row],[Regularity]]</f>
        <v>2.457618365481983</v>
      </c>
      <c r="Q5" s="11" t="s">
        <v>15</v>
      </c>
    </row>
    <row r="6" spans="1:17" ht="24" x14ac:dyDescent="0.45">
      <c r="A6" s="11" t="s">
        <v>444</v>
      </c>
      <c r="B6" s="11" t="s">
        <v>84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6" s="12">
        <v>0.24</v>
      </c>
      <c r="F6" s="12">
        <v>0.12</v>
      </c>
      <c r="G6" s="12">
        <v>0.37642585551330798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WOL_45[[#This Row],[xPoints Av.]]*WOL_45[[#This Row],[Regularity]]</f>
        <v>2.446315789473684</v>
      </c>
      <c r="Q6" s="11" t="s">
        <v>15</v>
      </c>
    </row>
    <row r="7" spans="1:17" ht="24" x14ac:dyDescent="0.45">
      <c r="A7" s="11" t="s">
        <v>437</v>
      </c>
      <c r="B7" s="11" t="s">
        <v>75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7" s="12">
        <v>0.03</v>
      </c>
      <c r="F7" s="12">
        <v>0.08</v>
      </c>
      <c r="G7" s="12">
        <v>0.33333333333333331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WOL_45[[#This Row],[xPoints Av.]]*WOL_45[[#This Row],[Regularity]]</f>
        <v>2.3649999999999998</v>
      </c>
      <c r="Q7" s="11" t="s">
        <v>15</v>
      </c>
    </row>
    <row r="8" spans="1:17" ht="24" x14ac:dyDescent="0.45">
      <c r="A8" s="11" t="s">
        <v>435</v>
      </c>
      <c r="B8" s="11" t="s">
        <v>64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8" s="12">
        <v>0.03</v>
      </c>
      <c r="F8" s="12">
        <v>0.08</v>
      </c>
      <c r="G8" s="12">
        <v>0.34501642935377874</v>
      </c>
      <c r="H8" s="11">
        <v>20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WOL_45[[#This Row],[xPoints Av.]]*WOL_45[[#This Row],[Regularity]]</f>
        <v>2.3030701317667366</v>
      </c>
      <c r="Q8" s="11" t="s">
        <v>15</v>
      </c>
    </row>
    <row r="9" spans="1:17" ht="24" x14ac:dyDescent="0.45">
      <c r="A9" s="11" t="s">
        <v>438</v>
      </c>
      <c r="B9" s="11" t="s">
        <v>75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9" s="12">
        <v>0.04</v>
      </c>
      <c r="F9" s="12">
        <v>0.08</v>
      </c>
      <c r="G9" s="12">
        <v>0.30462579917262128</v>
      </c>
      <c r="H9" s="11">
        <v>29</v>
      </c>
      <c r="I9" s="11">
        <v>35</v>
      </c>
      <c r="J9" s="11"/>
      <c r="K9" s="11"/>
      <c r="L9" s="11"/>
      <c r="M9" s="11"/>
      <c r="N9" s="11">
        <v>1</v>
      </c>
      <c r="O9" s="11">
        <v>5</v>
      </c>
      <c r="P9" s="12">
        <f>WOL_45[[#This Row],[xPoints Av.]]*WOL_45[[#This Row],[Regularity]]</f>
        <v>2.2741185193144582</v>
      </c>
      <c r="Q9" s="11" t="s">
        <v>15</v>
      </c>
    </row>
    <row r="10" spans="1:17" ht="24" x14ac:dyDescent="0.45">
      <c r="A10" s="11" t="s">
        <v>440</v>
      </c>
      <c r="B10" s="11" t="s">
        <v>75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0" s="12">
        <v>0.12</v>
      </c>
      <c r="F10" s="12">
        <v>0.26</v>
      </c>
      <c r="G10" s="12">
        <v>0.54915254237288136</v>
      </c>
      <c r="H10" s="11">
        <v>16</v>
      </c>
      <c r="I10" s="11">
        <v>30</v>
      </c>
      <c r="J10" s="11"/>
      <c r="K10" s="11"/>
      <c r="L10" s="11"/>
      <c r="M10" s="11"/>
      <c r="N10" s="11">
        <v>1</v>
      </c>
      <c r="O10" s="11">
        <v>5</v>
      </c>
      <c r="P10" s="12">
        <f>WOL_45[[#This Row],[xPoints Av.]]*WOL_45[[#This Row],[Regularity]]</f>
        <v>2.0955480225988703</v>
      </c>
      <c r="Q10" s="11" t="s">
        <v>15</v>
      </c>
    </row>
    <row r="11" spans="1:17" ht="24" x14ac:dyDescent="0.45">
      <c r="A11" s="11" t="s">
        <v>445</v>
      </c>
      <c r="B11" s="11" t="s">
        <v>84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3.08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11" s="12">
        <v>0.21</v>
      </c>
      <c r="F11" s="12">
        <v>0.08</v>
      </c>
      <c r="G11" s="12">
        <v>0.34787410270568742</v>
      </c>
      <c r="H11" s="18">
        <v>18</v>
      </c>
      <c r="I11" s="18">
        <v>29</v>
      </c>
      <c r="J11" s="11"/>
      <c r="K11" s="11"/>
      <c r="L11" s="11"/>
      <c r="M11" s="11"/>
      <c r="N11" s="11">
        <v>1</v>
      </c>
      <c r="O11" s="11">
        <v>5</v>
      </c>
      <c r="P11" s="12">
        <f>WOL_45[[#This Row],[xPoints Av.]]*WOL_45[[#This Row],[Regularity]]</f>
        <v>1.9117241379310346</v>
      </c>
      <c r="Q11" s="11" t="s">
        <v>15</v>
      </c>
    </row>
    <row r="12" spans="1:17" ht="24" x14ac:dyDescent="0.45">
      <c r="A12" s="11" t="s">
        <v>441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3.9743975903614457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0.43243243243243251</v>
      </c>
      <c r="E12" s="12">
        <v>0.24</v>
      </c>
      <c r="F12" s="12">
        <v>0.1</v>
      </c>
      <c r="G12" s="12">
        <v>0.47439759036144574</v>
      </c>
      <c r="H12" s="11">
        <v>16</v>
      </c>
      <c r="I12" s="11">
        <v>37</v>
      </c>
      <c r="J12" s="11"/>
      <c r="K12" s="11"/>
      <c r="L12" s="11"/>
      <c r="M12" s="11"/>
      <c r="N12" s="11">
        <v>1</v>
      </c>
      <c r="O12" s="11">
        <v>4</v>
      </c>
      <c r="P12" s="12">
        <f>WOL_45[[#This Row],[xPoints Av.]]*WOL_45[[#This Row],[Regularity]]</f>
        <v>1.7186584174535984</v>
      </c>
      <c r="Q12" s="11" t="s">
        <v>15</v>
      </c>
    </row>
    <row r="13" spans="1:17" ht="24" x14ac:dyDescent="0.45">
      <c r="A13" s="14" t="s">
        <v>439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3" s="12">
        <v>0.11</v>
      </c>
      <c r="F13" s="12">
        <v>0.04</v>
      </c>
      <c r="G13" s="12">
        <v>0.23136246786632392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WOL_45[[#This Row],[xPoints Av.]]*WOL_45[[#This Row],[Regularity]]</f>
        <v>1.6033845217156004</v>
      </c>
      <c r="Q13" s="11" t="s">
        <v>15</v>
      </c>
    </row>
    <row r="14" spans="1:17" ht="24" x14ac:dyDescent="0.45">
      <c r="A14" s="11" t="s">
        <v>436</v>
      </c>
      <c r="B14" s="11" t="s">
        <v>64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14" s="12">
        <v>0.08</v>
      </c>
      <c r="F14" s="12">
        <v>0.1</v>
      </c>
      <c r="G14" s="12">
        <v>0.17612524461839529</v>
      </c>
      <c r="H14" s="11">
        <v>11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WOL_45[[#This Row],[xPoints Av.]]*WOL_45[[#This Row],[Regularity]]</f>
        <v>1.0086713358739314</v>
      </c>
      <c r="Q14" s="11" t="s">
        <v>15</v>
      </c>
    </row>
    <row r="15" spans="1:17" ht="24" x14ac:dyDescent="0.45">
      <c r="A15" s="11" t="s">
        <v>446</v>
      </c>
      <c r="B15" s="11" t="s">
        <v>84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15" s="12">
        <v>0.44</v>
      </c>
      <c r="F15" s="12">
        <v>7.0000000000000007E-2</v>
      </c>
      <c r="G15" s="12">
        <v>0</v>
      </c>
      <c r="H15" s="18">
        <v>5</v>
      </c>
      <c r="I15" s="18">
        <v>37</v>
      </c>
      <c r="J15" s="11"/>
      <c r="K15" s="11"/>
      <c r="L15" s="11"/>
      <c r="M15" s="11"/>
      <c r="N15" s="11">
        <v>1</v>
      </c>
      <c r="O15" s="11">
        <v>4</v>
      </c>
      <c r="P15" s="12">
        <f>WOL_45[[#This Row],[xPoints Av.]]*WOL_45[[#This Row],[Regularity]]</f>
        <v>0.53648648648648645</v>
      </c>
      <c r="Q15" s="11" t="s">
        <v>15</v>
      </c>
    </row>
    <row r="16" spans="1:17" ht="24" x14ac:dyDescent="0.45">
      <c r="A16" s="11" t="s">
        <v>442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0.10526315789473684</v>
      </c>
      <c r="E16" s="12">
        <v>0.33</v>
      </c>
      <c r="F16" s="12">
        <v>0.3</v>
      </c>
      <c r="G16" s="12">
        <v>0</v>
      </c>
      <c r="H16" s="11">
        <v>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WOL_45[[#This Row],[xPoints Av.]]*WOL_45[[#This Row],[Regularity]]</f>
        <v>0.47894736842105257</v>
      </c>
      <c r="Q16" s="11" t="s">
        <v>15</v>
      </c>
    </row>
    <row r="17" spans="1:17" ht="24" x14ac:dyDescent="0.45">
      <c r="A17" s="11" t="s">
        <v>443</v>
      </c>
      <c r="B17" s="11" t="s">
        <v>75</v>
      </c>
      <c r="C1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7" s="12">
        <v>0.26</v>
      </c>
      <c r="F17" s="12">
        <v>0.51</v>
      </c>
      <c r="G17" s="12">
        <v>0</v>
      </c>
      <c r="H17" s="11">
        <v>1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WOL_45[[#This Row],[xPoints Av.]]*WOL_45[[#This Row],[Regularity]]</f>
        <v>0.26833333333333337</v>
      </c>
      <c r="Q17" s="11" t="s">
        <v>15</v>
      </c>
    </row>
  </sheetData>
  <dataValidations count="1">
    <dataValidation type="list" allowBlank="1" showInputMessage="1" showErrorMessage="1" sqref="B2:B17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324" zoomScale="70" zoomScaleNormal="70" workbookViewId="0">
      <selection activeCell="I297" sqref="I297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3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3" t="s">
        <v>91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3" t="s">
        <v>111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3" t="s">
        <v>128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3" t="s">
        <v>146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3" t="s">
        <v>191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3" t="s">
        <v>208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3" t="s">
        <v>226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3" t="s">
        <v>246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3" t="s">
        <v>266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3" t="s">
        <v>290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3" t="s">
        <v>310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3" t="s">
        <v>327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3" t="s">
        <v>355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3" t="s">
        <v>373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3" t="s">
        <v>395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3" t="s">
        <v>413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  <mergeCell ref="A1:Q1"/>
    <mergeCell ref="A123:Q123"/>
    <mergeCell ref="A143:Q143"/>
    <mergeCell ref="A44:Q44"/>
    <mergeCell ref="A63:Q63"/>
    <mergeCell ref="A82:Q82"/>
    <mergeCell ref="A104:Q104"/>
    <mergeCell ref="A22:Q22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workbookViewId="0">
      <selection activeCell="H19" sqref="H19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3" t="s">
        <v>448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3" t="s">
        <v>467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3" t="s">
        <v>485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3" priority="1" operator="equal">
      <formula>"L"</formula>
    </cfRule>
    <cfRule type="cellIs" dxfId="2" priority="2" operator="equal">
      <formula>"D"</formula>
    </cfRule>
    <cfRule type="cellIs" dxfId="1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zoomScaleNormal="100" workbookViewId="0">
      <selection activeCell="N7" sqref="N7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1" t="s">
        <v>13</v>
      </c>
      <c r="C2" s="21" t="s">
        <v>18</v>
      </c>
      <c r="D2" s="21" t="s">
        <v>12</v>
      </c>
      <c r="E2" s="21" t="s">
        <v>19</v>
      </c>
      <c r="F2" s="21" t="s">
        <v>16</v>
      </c>
      <c r="G2" s="21" t="s">
        <v>9</v>
      </c>
      <c r="H2" s="21" t="s">
        <v>7</v>
      </c>
      <c r="I2" s="21" t="s">
        <v>15</v>
      </c>
      <c r="J2" s="21" t="s">
        <v>51</v>
      </c>
      <c r="K2" s="21" t="s">
        <v>14</v>
      </c>
      <c r="L2" s="21" t="s">
        <v>11</v>
      </c>
      <c r="M2" s="21" t="s">
        <v>21</v>
      </c>
      <c r="N2" s="21" t="s">
        <v>8</v>
      </c>
      <c r="O2" s="21" t="s">
        <v>10</v>
      </c>
      <c r="P2" s="21" t="s">
        <v>22</v>
      </c>
      <c r="Q2" s="21" t="s">
        <v>17</v>
      </c>
      <c r="R2" s="21" t="s">
        <v>20</v>
      </c>
      <c r="S2" s="21" t="s">
        <v>24</v>
      </c>
      <c r="T2" s="21" t="s">
        <v>23</v>
      </c>
      <c r="U2" s="22" t="s">
        <v>129</v>
      </c>
    </row>
    <row r="3" spans="1:21" ht="35.25" customHeight="1" x14ac:dyDescent="0.35">
      <c r="A3" s="7">
        <v>2</v>
      </c>
      <c r="B3" s="21" t="s">
        <v>10</v>
      </c>
      <c r="C3" s="21" t="s">
        <v>20</v>
      </c>
      <c r="D3" s="21" t="s">
        <v>14</v>
      </c>
      <c r="E3" s="21" t="s">
        <v>7</v>
      </c>
      <c r="F3" s="21" t="s">
        <v>22</v>
      </c>
      <c r="G3" s="21" t="s">
        <v>15</v>
      </c>
      <c r="H3" s="21" t="s">
        <v>129</v>
      </c>
      <c r="I3" s="21" t="s">
        <v>9</v>
      </c>
      <c r="J3" s="21" t="s">
        <v>13</v>
      </c>
      <c r="K3" s="21" t="s">
        <v>12</v>
      </c>
      <c r="L3" s="21" t="s">
        <v>18</v>
      </c>
      <c r="M3" s="21" t="s">
        <v>23</v>
      </c>
      <c r="N3" s="21" t="s">
        <v>16</v>
      </c>
      <c r="O3" s="21" t="s">
        <v>24</v>
      </c>
      <c r="P3" s="21" t="s">
        <v>8</v>
      </c>
      <c r="Q3" s="21" t="s">
        <v>51</v>
      </c>
      <c r="R3" s="21" t="s">
        <v>11</v>
      </c>
      <c r="S3" s="21" t="s">
        <v>17</v>
      </c>
      <c r="T3" s="21" t="s">
        <v>19</v>
      </c>
      <c r="U3" s="22" t="s">
        <v>21</v>
      </c>
    </row>
    <row r="4" spans="1:21" ht="35.25" customHeight="1" x14ac:dyDescent="0.35">
      <c r="A4" s="7">
        <v>3</v>
      </c>
      <c r="B4" s="21" t="s">
        <v>24</v>
      </c>
      <c r="C4" s="21" t="s">
        <v>11</v>
      </c>
      <c r="D4" s="21" t="s">
        <v>18</v>
      </c>
      <c r="E4" s="21" t="s">
        <v>16</v>
      </c>
      <c r="F4" s="21" t="s">
        <v>8</v>
      </c>
      <c r="G4" s="21" t="s">
        <v>17</v>
      </c>
      <c r="H4" s="21" t="s">
        <v>51</v>
      </c>
      <c r="I4" s="21" t="s">
        <v>23</v>
      </c>
      <c r="J4" s="21" t="s">
        <v>20</v>
      </c>
      <c r="K4" s="21" t="s">
        <v>22</v>
      </c>
      <c r="L4" s="21" t="s">
        <v>10</v>
      </c>
      <c r="M4" s="21" t="s">
        <v>12</v>
      </c>
      <c r="N4" s="21" t="s">
        <v>9</v>
      </c>
      <c r="O4" s="21" t="s">
        <v>21</v>
      </c>
      <c r="P4" s="21" t="s">
        <v>129</v>
      </c>
      <c r="Q4" s="21" t="s">
        <v>19</v>
      </c>
      <c r="R4" s="21" t="s">
        <v>15</v>
      </c>
      <c r="S4" s="21" t="s">
        <v>14</v>
      </c>
      <c r="T4" s="21" t="s">
        <v>7</v>
      </c>
      <c r="U4" s="22" t="s">
        <v>13</v>
      </c>
    </row>
    <row r="5" spans="1:21" ht="35.25" customHeight="1" x14ac:dyDescent="0.35">
      <c r="A5" s="7">
        <v>4</v>
      </c>
      <c r="B5" s="21" t="s">
        <v>129</v>
      </c>
      <c r="C5" s="21" t="s">
        <v>22</v>
      </c>
      <c r="D5" s="21" t="s">
        <v>23</v>
      </c>
      <c r="E5" s="21" t="s">
        <v>11</v>
      </c>
      <c r="F5" s="21" t="s">
        <v>10</v>
      </c>
      <c r="G5" s="21" t="s">
        <v>20</v>
      </c>
      <c r="H5" s="21" t="s">
        <v>18</v>
      </c>
      <c r="I5" s="21" t="s">
        <v>24</v>
      </c>
      <c r="J5" s="21" t="s">
        <v>7</v>
      </c>
      <c r="K5" s="21" t="s">
        <v>21</v>
      </c>
      <c r="L5" s="21" t="s">
        <v>51</v>
      </c>
      <c r="M5" s="21" t="s">
        <v>19</v>
      </c>
      <c r="N5" s="21" t="s">
        <v>13</v>
      </c>
      <c r="O5" s="21" t="s">
        <v>17</v>
      </c>
      <c r="P5" s="21" t="s">
        <v>12</v>
      </c>
      <c r="Q5" s="21" t="s">
        <v>15</v>
      </c>
      <c r="R5" s="21" t="s">
        <v>8</v>
      </c>
      <c r="S5" s="21" t="s">
        <v>9</v>
      </c>
      <c r="T5" s="21" t="s">
        <v>14</v>
      </c>
      <c r="U5" s="22" t="s">
        <v>16</v>
      </c>
    </row>
    <row r="6" spans="1:21" ht="35.25" customHeight="1" x14ac:dyDescent="0.35">
      <c r="A6" s="7">
        <v>5</v>
      </c>
      <c r="B6" s="21" t="s">
        <v>18</v>
      </c>
      <c r="C6" s="21" t="s">
        <v>16</v>
      </c>
      <c r="D6" s="21" t="s">
        <v>24</v>
      </c>
      <c r="E6" s="21" t="s">
        <v>17</v>
      </c>
      <c r="F6" s="21" t="s">
        <v>51</v>
      </c>
      <c r="G6" s="21" t="s">
        <v>14</v>
      </c>
      <c r="H6" s="21" t="s">
        <v>19</v>
      </c>
      <c r="I6" s="21" t="s">
        <v>12</v>
      </c>
      <c r="J6" s="21" t="s">
        <v>22</v>
      </c>
      <c r="K6" s="21" t="s">
        <v>9</v>
      </c>
      <c r="L6" s="21" t="s">
        <v>8</v>
      </c>
      <c r="M6" s="21" t="s">
        <v>10</v>
      </c>
      <c r="N6" s="21" t="s">
        <v>7</v>
      </c>
      <c r="O6" s="21" t="s">
        <v>13</v>
      </c>
      <c r="P6" s="21" t="s">
        <v>23</v>
      </c>
      <c r="Q6" s="21" t="s">
        <v>24</v>
      </c>
      <c r="R6" s="21" t="s">
        <v>129</v>
      </c>
      <c r="S6" s="21" t="s">
        <v>20</v>
      </c>
      <c r="T6" s="21" t="s">
        <v>21</v>
      </c>
      <c r="U6" s="22" t="s">
        <v>11</v>
      </c>
    </row>
    <row r="7" spans="1:21" ht="35.25" customHeight="1" x14ac:dyDescent="0.35">
      <c r="A7" s="7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1:21" ht="35.25" customHeight="1" x14ac:dyDescent="0.35">
      <c r="A8" s="7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2"/>
    </row>
    <row r="9" spans="1:21" ht="35.25" customHeight="1" x14ac:dyDescent="0.35">
      <c r="A9" s="7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2"/>
    </row>
    <row r="10" spans="1:21" ht="35.25" customHeight="1" x14ac:dyDescent="0.35">
      <c r="A10" s="7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/>
    </row>
    <row r="11" spans="1:21" ht="35.25" customHeight="1" x14ac:dyDescent="0.35">
      <c r="A11" s="7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</row>
    <row r="12" spans="1:21" ht="35.25" customHeight="1" x14ac:dyDescent="0.35">
      <c r="A12" s="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/>
    </row>
    <row r="13" spans="1:21" ht="35.25" customHeight="1" x14ac:dyDescent="0.35">
      <c r="A13" s="7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2"/>
    </row>
    <row r="14" spans="1:21" ht="35.25" customHeight="1" x14ac:dyDescent="0.35">
      <c r="A14" s="7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/>
    </row>
    <row r="15" spans="1:21" ht="35.25" customHeight="1" x14ac:dyDescent="0.35">
      <c r="A15" s="7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</row>
    <row r="16" spans="1:21" ht="35.25" customHeight="1" x14ac:dyDescent="0.35">
      <c r="A16" s="7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2"/>
    </row>
    <row r="17" spans="1:21" ht="35.25" customHeight="1" x14ac:dyDescent="0.35">
      <c r="A17" s="7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2"/>
    </row>
    <row r="18" spans="1:21" ht="35.25" customHeight="1" x14ac:dyDescent="0.35">
      <c r="A18" s="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1:21" ht="35.25" customHeight="1" x14ac:dyDescent="0.35">
      <c r="A19" s="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2"/>
    </row>
    <row r="20" spans="1:21" ht="35.25" customHeight="1" x14ac:dyDescent="0.35">
      <c r="A20" s="7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2"/>
    </row>
    <row r="21" spans="1:21" ht="35.25" customHeight="1" x14ac:dyDescent="0.35">
      <c r="A21" s="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2"/>
    </row>
    <row r="22" spans="1:21" ht="35.25" customHeight="1" x14ac:dyDescent="0.35">
      <c r="A22" s="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2"/>
    </row>
    <row r="23" spans="1:21" ht="35.25" customHeight="1" x14ac:dyDescent="0.35">
      <c r="A23" s="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2"/>
    </row>
    <row r="24" spans="1:21" ht="35.25" customHeight="1" x14ac:dyDescent="0.35">
      <c r="A24" s="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</row>
    <row r="25" spans="1:21" ht="35.25" customHeight="1" x14ac:dyDescent="0.35">
      <c r="A25" s="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</row>
    <row r="26" spans="1:21" ht="35.25" customHeight="1" x14ac:dyDescent="0.35">
      <c r="A26" s="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2"/>
    </row>
    <row r="27" spans="1:21" ht="35.25" customHeight="1" x14ac:dyDescent="0.35">
      <c r="A27" s="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</row>
    <row r="28" spans="1:21" ht="35.25" customHeight="1" x14ac:dyDescent="0.35">
      <c r="A28" s="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2"/>
    </row>
    <row r="29" spans="1:21" ht="35.25" customHeight="1" x14ac:dyDescent="0.35">
      <c r="A29" s="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2"/>
    </row>
    <row r="30" spans="1:21" ht="35.25" customHeight="1" x14ac:dyDescent="0.35">
      <c r="A30" s="7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2"/>
    </row>
    <row r="31" spans="1:21" ht="35.25" customHeight="1" x14ac:dyDescent="0.35">
      <c r="A31" s="7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2"/>
    </row>
    <row r="32" spans="1:21" ht="35.25" customHeight="1" x14ac:dyDescent="0.35">
      <c r="A32" s="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</row>
    <row r="33" spans="1:21" ht="35.25" customHeight="1" x14ac:dyDescent="0.35">
      <c r="A33" s="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2"/>
    </row>
    <row r="34" spans="1:21" ht="35.25" customHeight="1" x14ac:dyDescent="0.35">
      <c r="A34" s="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</row>
    <row r="35" spans="1:21" ht="35.25" customHeight="1" x14ac:dyDescent="0.35">
      <c r="A35" s="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</row>
    <row r="36" spans="1:21" ht="35.25" customHeight="1" x14ac:dyDescent="0.35">
      <c r="A36" s="7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2"/>
    </row>
    <row r="37" spans="1:21" ht="35.25" customHeight="1" x14ac:dyDescent="0.35">
      <c r="A37" s="7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2"/>
    </row>
    <row r="38" spans="1:21" ht="35.25" customHeight="1" x14ac:dyDescent="0.35">
      <c r="A38" s="7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2"/>
    </row>
    <row r="39" spans="1:21" ht="35.25" customHeight="1" x14ac:dyDescent="0.35">
      <c r="A39" s="7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2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4" t="s">
        <v>179</v>
      </c>
      <c r="B40" s="24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4"/>
      <c r="B41" s="2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workbookViewId="0">
      <selection activeCell="N5" sqref="N5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104</v>
      </c>
      <c r="B3" s="11" t="s">
        <v>75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3" s="12">
        <v>0.22</v>
      </c>
      <c r="F3" s="12">
        <v>0.19</v>
      </c>
      <c r="G3" s="12">
        <f>7/(1327/90)</f>
        <v>0.47475508666164284</v>
      </c>
      <c r="H3" s="11">
        <v>16</v>
      </c>
      <c r="I3" s="11">
        <v>19</v>
      </c>
      <c r="J3" s="11"/>
      <c r="K3" s="11"/>
      <c r="L3" s="11"/>
      <c r="M3" s="11"/>
      <c r="N3" s="11">
        <v>1</v>
      </c>
      <c r="O3" s="11">
        <v>8</v>
      </c>
      <c r="P3" s="12">
        <f>AVL_27[[#This Row],[xPoints Av.]]*AVL_27[[#This Row],[Regularity]]</f>
        <v>3.4903200729782258</v>
      </c>
      <c r="Q3" s="11" t="s">
        <v>19</v>
      </c>
    </row>
    <row r="4" spans="1:17" ht="24" x14ac:dyDescent="0.45">
      <c r="A4" s="11" t="s">
        <v>94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4" s="12">
        <v>0.04</v>
      </c>
      <c r="F4" s="12">
        <v>0.04</v>
      </c>
      <c r="G4" s="12">
        <f>11/(3188/90)</f>
        <v>0.31053952321204514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AVL_27[[#This Row],[xPoints Av.]]*AVL_27[[#This Row],[Regularity]]</f>
        <v>3.3177771907812192</v>
      </c>
      <c r="Q4" s="11" t="s">
        <v>19</v>
      </c>
    </row>
    <row r="5" spans="1:17" ht="24" x14ac:dyDescent="0.45">
      <c r="A5" s="11" t="s">
        <v>109</v>
      </c>
      <c r="B5" s="11" t="s">
        <v>84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5" s="12">
        <v>0.35</v>
      </c>
      <c r="F5" s="12">
        <v>0.09</v>
      </c>
      <c r="G5" s="12">
        <f>10/(2950/90)</f>
        <v>0.30508474576271188</v>
      </c>
      <c r="H5" s="11">
        <v>33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AVL_27[[#This Row],[xPoints Av.]]*AVL_27[[#This Row],[Regularity]]</f>
        <v>3.1871052631578949</v>
      </c>
      <c r="Q5" s="11" t="s">
        <v>19</v>
      </c>
    </row>
    <row r="6" spans="1:17" ht="24" x14ac:dyDescent="0.45">
      <c r="A6" s="11" t="s">
        <v>92</v>
      </c>
      <c r="B6" s="11" t="s">
        <v>62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6" s="12">
        <v>0</v>
      </c>
      <c r="F6" s="12">
        <v>0</v>
      </c>
      <c r="G6" s="12">
        <f>11/(3240/90)</f>
        <v>0.30555555555555558</v>
      </c>
      <c r="H6" s="11">
        <v>36</v>
      </c>
      <c r="I6" s="11">
        <v>37</v>
      </c>
      <c r="J6" s="11"/>
      <c r="K6" s="11"/>
      <c r="L6" s="11"/>
      <c r="M6" s="11"/>
      <c r="N6" s="11">
        <v>1</v>
      </c>
      <c r="O6" s="11">
        <v>6</v>
      </c>
      <c r="P6" s="12">
        <f>AVL_27[[#This Row],[xPoints Av.]]*AVL_27[[#This Row],[Regularity]]</f>
        <v>3.1351351351351355</v>
      </c>
      <c r="Q6" s="11" t="s">
        <v>19</v>
      </c>
    </row>
    <row r="7" spans="1:17" ht="24" x14ac:dyDescent="0.45">
      <c r="A7" s="11" t="s">
        <v>95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7" s="12">
        <v>0.04</v>
      </c>
      <c r="F7" s="12">
        <v>0.13</v>
      </c>
      <c r="G7" s="12">
        <f>7/(2440/90)</f>
        <v>0.25819672131147542</v>
      </c>
      <c r="H7" s="11">
        <v>28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AVL_27[[#This Row],[xPoints Av.]]*AVL_27[[#This Row],[Regularity]]</f>
        <v>2.9302295081967218</v>
      </c>
      <c r="Q7" s="11" t="s">
        <v>19</v>
      </c>
    </row>
    <row r="8" spans="1:17" ht="24" x14ac:dyDescent="0.45">
      <c r="A8" s="11" t="s">
        <v>100</v>
      </c>
      <c r="B8" s="11" t="s">
        <v>75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8" s="12">
        <v>0.05</v>
      </c>
      <c r="F8" s="12">
        <v>0.16</v>
      </c>
      <c r="G8" s="12">
        <f>10/(3090/90)</f>
        <v>0.29126213592233008</v>
      </c>
      <c r="H8" s="11">
        <v>34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AVL_27[[#This Row],[xPoints Av.]]*AVL_27[[#This Row],[Regularity]]</f>
        <v>2.7032345426673481</v>
      </c>
      <c r="Q8" s="11" t="s">
        <v>19</v>
      </c>
    </row>
    <row r="9" spans="1:17" ht="24" x14ac:dyDescent="0.45">
      <c r="A9" s="11" t="s">
        <v>96</v>
      </c>
      <c r="B9" s="11" t="s">
        <v>64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9" s="12">
        <v>0.04</v>
      </c>
      <c r="F9" s="12">
        <v>0.01</v>
      </c>
      <c r="G9" s="12">
        <f>8/(2477/90)</f>
        <v>0.29067420266451355</v>
      </c>
      <c r="H9" s="11">
        <v>26</v>
      </c>
      <c r="I9" s="11">
        <v>36</v>
      </c>
      <c r="J9" s="11"/>
      <c r="K9" s="11"/>
      <c r="L9" s="11"/>
      <c r="M9" s="11"/>
      <c r="N9" s="11">
        <v>1</v>
      </c>
      <c r="O9" s="11">
        <v>5</v>
      </c>
      <c r="P9" s="12">
        <f>AVL_27[[#This Row],[xPoints Av.]]*AVL_27[[#This Row],[Regularity]]</f>
        <v>2.4791699188085947</v>
      </c>
      <c r="Q9" s="11" t="s">
        <v>19</v>
      </c>
    </row>
    <row r="10" spans="1:17" ht="24" x14ac:dyDescent="0.45">
      <c r="A10" s="11" t="s">
        <v>101</v>
      </c>
      <c r="B10" s="11" t="s">
        <v>75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0" s="12">
        <v>0.14000000000000001</v>
      </c>
      <c r="F10" s="12">
        <v>7.0000000000000007E-2</v>
      </c>
      <c r="G10" s="12">
        <f>12/(2465/90)</f>
        <v>0.43813387423935091</v>
      </c>
      <c r="H10" s="11">
        <v>27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AVL_27[[#This Row],[xPoints Av.]]*AVL_27[[#This Row],[Regularity]]</f>
        <v>2.3789372264332229</v>
      </c>
      <c r="Q10" s="11" t="s">
        <v>19</v>
      </c>
    </row>
    <row r="11" spans="1:17" ht="24" x14ac:dyDescent="0.45">
      <c r="A11" s="13" t="s">
        <v>103</v>
      </c>
      <c r="B11" s="11" t="s">
        <v>75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1" s="12">
        <v>7.0000000000000007E-2</v>
      </c>
      <c r="F11" s="12">
        <v>0.08</v>
      </c>
      <c r="G11" s="12">
        <f>10/(2715/90)</f>
        <v>0.33149171270718231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AVL_27[[#This Row],[xPoints Av.]]*AVL_27[[#This Row],[Regularity]]</f>
        <v>2.3064408258214599</v>
      </c>
      <c r="Q11" s="11" t="s">
        <v>19</v>
      </c>
    </row>
    <row r="12" spans="1:17" ht="24" x14ac:dyDescent="0.45">
      <c r="A12" s="11" t="s">
        <v>110</v>
      </c>
      <c r="B12" s="11" t="s">
        <v>84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2" s="12">
        <v>0.32</v>
      </c>
      <c r="F12" s="12">
        <v>7.0000000000000007E-2</v>
      </c>
      <c r="G12" s="12">
        <f>10/(1891/90)</f>
        <v>0.47593865679534636</v>
      </c>
      <c r="H12" s="11">
        <v>22</v>
      </c>
      <c r="I12" s="11">
        <v>38</v>
      </c>
      <c r="J12" s="11"/>
      <c r="K12" s="11"/>
      <c r="L12" s="11"/>
      <c r="M12" s="11"/>
      <c r="N12" s="11">
        <v>1</v>
      </c>
      <c r="O12" s="11">
        <v>5</v>
      </c>
      <c r="P12" s="12">
        <f>AVL_27[[#This Row],[xPoints Av.]]*AVL_27[[#This Row],[Regularity]]</f>
        <v>2.0205263157894739</v>
      </c>
      <c r="Q12" s="11" t="s">
        <v>19</v>
      </c>
    </row>
    <row r="13" spans="1:17" ht="24" x14ac:dyDescent="0.45">
      <c r="A13" s="11" t="s">
        <v>102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3" s="12">
        <v>0.14000000000000001</v>
      </c>
      <c r="F13" s="12">
        <v>0.22</v>
      </c>
      <c r="G13" s="12">
        <f>7/(1887/90)</f>
        <v>0.33386327503974567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AVL_27[[#This Row],[xPoints Av.]]*AVL_27[[#This Row],[Regularity]]</f>
        <v>1.9441385658103922</v>
      </c>
      <c r="Q13" s="11" t="s">
        <v>19</v>
      </c>
    </row>
    <row r="14" spans="1:17" ht="24" x14ac:dyDescent="0.45">
      <c r="A14" s="11" t="s">
        <v>97</v>
      </c>
      <c r="B14" s="11" t="s">
        <v>64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14" s="12">
        <v>0.03</v>
      </c>
      <c r="F14" s="12">
        <v>0.06</v>
      </c>
      <c r="G14" s="12">
        <f>4/(1234/90)</f>
        <v>0.29173419773095627</v>
      </c>
      <c r="H14" s="11">
        <v>12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AVL_27[[#This Row],[xPoints Av.]]*AVL_27[[#This Row],[Regularity]]</f>
        <v>1.1137695129233132</v>
      </c>
      <c r="Q14" s="11" t="s">
        <v>19</v>
      </c>
    </row>
    <row r="15" spans="1:17" ht="24" x14ac:dyDescent="0.45">
      <c r="A15" s="11" t="s">
        <v>98</v>
      </c>
      <c r="B15" s="11" t="s">
        <v>64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15" s="12">
        <v>0.02</v>
      </c>
      <c r="F15" s="12">
        <v>0.01</v>
      </c>
      <c r="G15" s="12">
        <f>4/(999/90)</f>
        <v>0.3603603603603604</v>
      </c>
      <c r="H15" s="11">
        <v>11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AVL_27[[#This Row],[xPoints Av.]]*AVL_27[[#This Row],[Regularity]]</f>
        <v>1.0396277856804175</v>
      </c>
      <c r="Q15" s="11" t="s">
        <v>19</v>
      </c>
    </row>
    <row r="16" spans="1:17" ht="24" x14ac:dyDescent="0.45">
      <c r="A16" s="11" t="s">
        <v>106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6" s="12">
        <v>0</v>
      </c>
      <c r="F16" s="12">
        <v>0</v>
      </c>
      <c r="G16" s="12">
        <f>2/(899/90)</f>
        <v>0.20022246941045607</v>
      </c>
      <c r="H16" s="11">
        <v>9</v>
      </c>
      <c r="I16" s="11">
        <v>23</v>
      </c>
      <c r="J16" s="11"/>
      <c r="K16" s="11"/>
      <c r="L16" s="11"/>
      <c r="M16" s="11"/>
      <c r="N16" s="11">
        <v>1</v>
      </c>
      <c r="O16" s="11">
        <v>4</v>
      </c>
      <c r="P16" s="12">
        <f>AVL_27[[#This Row],[xPoints Av.]]*AVL_27[[#This Row],[Regularity]]</f>
        <v>0.86095661846496108</v>
      </c>
      <c r="Q16" s="11" t="s">
        <v>19</v>
      </c>
    </row>
    <row r="17" spans="1:17" ht="24" x14ac:dyDescent="0.45">
      <c r="A17" s="11" t="s">
        <v>105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7" s="12">
        <v>0.19</v>
      </c>
      <c r="F17" s="12">
        <v>0.08</v>
      </c>
      <c r="G17" s="12">
        <f>2/(750/90)</f>
        <v>0.24</v>
      </c>
      <c r="H17" s="11">
        <v>5</v>
      </c>
      <c r="I17" s="11">
        <v>29</v>
      </c>
      <c r="J17" s="11"/>
      <c r="K17" s="11"/>
      <c r="L17" s="11"/>
      <c r="M17" s="11"/>
      <c r="N17" s="11">
        <v>1</v>
      </c>
      <c r="O17" s="11">
        <v>4</v>
      </c>
      <c r="P17" s="12">
        <f>AVL_27[[#This Row],[xPoints Av.]]*AVL_27[[#This Row],[Regularity]]</f>
        <v>0.5913793103448276</v>
      </c>
      <c r="Q17" s="11" t="s">
        <v>19</v>
      </c>
    </row>
    <row r="18" spans="1:17" ht="24" x14ac:dyDescent="0.45">
      <c r="A18" s="11" t="s">
        <v>99</v>
      </c>
      <c r="B18" s="11" t="s">
        <v>64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18" s="12">
        <v>0.01</v>
      </c>
      <c r="F18" s="12">
        <v>0</v>
      </c>
      <c r="G18" s="12">
        <f>1/(397/90)</f>
        <v>0.22670025188916876</v>
      </c>
      <c r="H18" s="11">
        <v>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AVL_27[[#This Row],[xPoints Av.]]*AVL_27[[#This Row],[Regularity]]</f>
        <v>0.31229484290070264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>
        <v>4</v>
      </c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7"/>
  <sheetViews>
    <sheetView workbookViewId="0">
      <selection activeCell="O2" sqref="O2:O17"/>
    </sheetView>
  </sheetViews>
  <sheetFormatPr defaultRowHeight="15" x14ac:dyDescent="0.25"/>
  <cols>
    <col min="1" max="1" width="17.5703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127</v>
      </c>
      <c r="B3" s="11" t="s">
        <v>84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3" s="12">
        <v>0.37</v>
      </c>
      <c r="F3" s="12">
        <v>0.23</v>
      </c>
      <c r="G3" s="12">
        <f>8/(2908/90)</f>
        <v>0.24759284731774417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BRE_28[[#This Row],[xPoints Av.]]*BRE_28[[#This Row],[Regularity]]</f>
        <v>3.5115789473684207</v>
      </c>
      <c r="Q3" s="11" t="s">
        <v>18</v>
      </c>
    </row>
    <row r="4" spans="1:17" ht="24" x14ac:dyDescent="0.45">
      <c r="A4" s="11" t="s">
        <v>118</v>
      </c>
      <c r="B4" s="11" t="s">
        <v>75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4.1388296041308088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4" s="12">
        <v>0.3</v>
      </c>
      <c r="F4" s="12">
        <v>0.12</v>
      </c>
      <c r="G4" s="12">
        <f>9/(2905/90)</f>
        <v>0.27882960413080893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BRE_28[[#This Row],[xPoints Av.]]*BRE_28[[#This Row],[Regularity]]</f>
        <v>3.4853301929522598</v>
      </c>
      <c r="Q4" s="11" t="s">
        <v>18</v>
      </c>
    </row>
    <row r="5" spans="1:17" ht="24" x14ac:dyDescent="0.45">
      <c r="A5" s="11" t="s">
        <v>112</v>
      </c>
      <c r="B5" s="11" t="s">
        <v>62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5" s="12">
        <v>0</v>
      </c>
      <c r="F5" s="12">
        <v>0</v>
      </c>
      <c r="G5" s="12">
        <f>8/(2160/90)</f>
        <v>0.33333333333333331</v>
      </c>
      <c r="H5" s="11">
        <v>24</v>
      </c>
      <c r="I5" s="11">
        <v>24</v>
      </c>
      <c r="J5" s="11"/>
      <c r="K5" s="11"/>
      <c r="L5" s="11"/>
      <c r="M5" s="11"/>
      <c r="N5" s="11">
        <v>1</v>
      </c>
      <c r="O5" s="11">
        <v>5</v>
      </c>
      <c r="P5" s="12">
        <f>BRE_28[[#This Row],[xPoints Av.]]*BRE_28[[#This Row],[Regularity]]</f>
        <v>3.333333333333333</v>
      </c>
      <c r="Q5" s="11" t="s">
        <v>18</v>
      </c>
    </row>
    <row r="6" spans="1:17" ht="24" x14ac:dyDescent="0.45">
      <c r="A6" s="11" t="s">
        <v>114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6" s="12">
        <v>0.06</v>
      </c>
      <c r="F6" s="12">
        <v>0.06</v>
      </c>
      <c r="G6" s="12">
        <f>9/(2775/90)</f>
        <v>0.29189189189189191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BRE_28[[#This Row],[xPoints Av.]]*BRE_28[[#This Row],[Regularity]]</f>
        <v>3.0245945945945945</v>
      </c>
      <c r="Q6" s="11" t="s">
        <v>18</v>
      </c>
    </row>
    <row r="7" spans="1:17" ht="24" x14ac:dyDescent="0.45">
      <c r="A7" s="11" t="s">
        <v>119</v>
      </c>
      <c r="B7" s="11" t="s">
        <v>75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7" s="12">
        <v>0.15</v>
      </c>
      <c r="F7" s="12">
        <v>0.12</v>
      </c>
      <c r="G7" s="12">
        <f>8/(3054/90)</f>
        <v>0.23575638506876231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BRE_28[[#This Row],[xPoints Av.]]*BRE_28[[#This Row],[Regularity]]</f>
        <v>2.9935715024299454</v>
      </c>
      <c r="Q7" s="11" t="s">
        <v>18</v>
      </c>
    </row>
    <row r="8" spans="1:17" ht="24" x14ac:dyDescent="0.45">
      <c r="A8" s="11" t="s">
        <v>122</v>
      </c>
      <c r="B8" s="11" t="s">
        <v>75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4.1637953091684441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0.66666666666666663</v>
      </c>
      <c r="E8" s="12">
        <v>0.14000000000000001</v>
      </c>
      <c r="F8" s="12">
        <v>0.36</v>
      </c>
      <c r="G8" s="12">
        <f>4/(938/90)</f>
        <v>0.38379530916844351</v>
      </c>
      <c r="H8" s="11">
        <v>10</v>
      </c>
      <c r="I8" s="11">
        <v>15</v>
      </c>
      <c r="J8" s="11"/>
      <c r="K8" s="11"/>
      <c r="L8" s="11"/>
      <c r="M8" s="11"/>
      <c r="N8" s="11">
        <v>1</v>
      </c>
      <c r="O8" s="11">
        <v>5</v>
      </c>
      <c r="P8" s="12">
        <f>BRE_28[[#This Row],[xPoints Av.]]*BRE_28[[#This Row],[Regularity]]</f>
        <v>2.7758635394456292</v>
      </c>
      <c r="Q8" s="11" t="s">
        <v>18</v>
      </c>
    </row>
    <row r="9" spans="1:17" ht="24" x14ac:dyDescent="0.45">
      <c r="A9" s="11" t="s">
        <v>115</v>
      </c>
      <c r="B9" s="11" t="s">
        <v>64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9" s="12">
        <v>0.06</v>
      </c>
      <c r="F9" s="12">
        <v>0.06</v>
      </c>
      <c r="G9" s="12">
        <f>7/(2694/90)</f>
        <v>0.23385300668151449</v>
      </c>
      <c r="H9" s="11">
        <v>29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BRE_28[[#This Row],[xPoints Av.]]*BRE_28[[#This Row],[Regularity]]</f>
        <v>2.6522881256593602</v>
      </c>
      <c r="Q9" s="11" t="s">
        <v>18</v>
      </c>
    </row>
    <row r="10" spans="1:17" ht="24" x14ac:dyDescent="0.45">
      <c r="A10" s="11" t="s">
        <v>116</v>
      </c>
      <c r="B10" s="11" t="s">
        <v>64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10" s="12">
        <v>0.05</v>
      </c>
      <c r="F10" s="12">
        <v>0.1</v>
      </c>
      <c r="G10" s="12">
        <f>8/(1995/90)</f>
        <v>0.36090225563909772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BRE_28[[#This Row],[xPoints Av.]]*BRE_28[[#This Row],[Regularity]]</f>
        <v>2.3410368025326473</v>
      </c>
      <c r="Q10" s="11" t="s">
        <v>18</v>
      </c>
    </row>
    <row r="11" spans="1:17" ht="24" x14ac:dyDescent="0.45">
      <c r="A11" s="11" t="s">
        <v>124</v>
      </c>
      <c r="B11" s="11" t="s">
        <v>75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3.3666538276360134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BRE_28[[#This Row],[xPoints Av.]]*BRE_28[[#This Row],[Regularity]]</f>
        <v>2.1263076806122188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117</v>
      </c>
      <c r="B15" s="11" t="s">
        <v>64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15" s="12">
        <v>0.02</v>
      </c>
      <c r="F15" s="12">
        <v>7.0000000000000007E-2</v>
      </c>
      <c r="G15" s="12">
        <f>1/(1232/90)</f>
        <v>7.3051948051948062E-2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BRE_28[[#This Row],[xPoints Av.]]*BRE_28[[#This Row],[Regularity]]</f>
        <v>0.82806561859193428</v>
      </c>
      <c r="Q15" s="11" t="s">
        <v>18</v>
      </c>
    </row>
    <row r="16" spans="1:17" ht="24" x14ac:dyDescent="0.45">
      <c r="A16" s="11" t="s">
        <v>123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6" s="12">
        <v>7.0000000000000007E-2</v>
      </c>
      <c r="F16" s="12">
        <v>0.01</v>
      </c>
      <c r="G16" s="12">
        <f>3/(1040/90)</f>
        <v>0.25961538461538464</v>
      </c>
      <c r="H16" s="11">
        <v>10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BRE_28[[#This Row],[xPoints Av.]]*BRE_28[[#This Row],[Regularity]]</f>
        <v>0.69463562753036445</v>
      </c>
      <c r="Q16" s="11" t="s">
        <v>18</v>
      </c>
    </row>
    <row r="17" spans="1:17" ht="24" x14ac:dyDescent="0.45">
      <c r="A17" s="11" t="s">
        <v>126</v>
      </c>
      <c r="B17" s="11" t="s">
        <v>75</v>
      </c>
      <c r="C1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7" s="12">
        <v>0.06</v>
      </c>
      <c r="F17" s="12">
        <v>0.05</v>
      </c>
      <c r="G17" s="12">
        <f>2/(898/90)</f>
        <v>0.20044543429844097</v>
      </c>
      <c r="H17" s="11">
        <v>7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BRE_28[[#This Row],[xPoints Av.]]*BRE_28[[#This Row],[Regularity]]</f>
        <v>0.48823994842339702</v>
      </c>
      <c r="Q17" s="11" t="s">
        <v>18</v>
      </c>
    </row>
  </sheetData>
  <dataValidations count="1">
    <dataValidation type="list" allowBlank="1" showInputMessage="1" showErrorMessage="1" sqref="B2:B17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7"/>
  <sheetViews>
    <sheetView workbookViewId="0">
      <selection activeCell="O2" sqref="O2:O17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137</v>
      </c>
      <c r="B3" s="11" t="s">
        <v>75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3" s="12">
        <v>0.25</v>
      </c>
      <c r="F3" s="12">
        <v>0.17</v>
      </c>
      <c r="G3" s="12">
        <f>11/(2803/90)</f>
        <v>0.35319300749197285</v>
      </c>
      <c r="H3" s="11">
        <v>30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BHA_29[[#This Row],[xPoints Av.]]*BHA_29[[#This Row],[Regularity]]</f>
        <v>3.6292879477870357</v>
      </c>
      <c r="Q3" s="11" t="s">
        <v>129</v>
      </c>
    </row>
    <row r="4" spans="1:17" ht="24" x14ac:dyDescent="0.45">
      <c r="A4" s="11" t="s">
        <v>133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4" s="12">
        <v>0.05</v>
      </c>
      <c r="F4" s="12">
        <v>0.01</v>
      </c>
      <c r="G4" s="12">
        <f>10/(2573/90)</f>
        <v>0.34978624174115819</v>
      </c>
      <c r="H4" s="11">
        <v>28</v>
      </c>
      <c r="I4" s="11">
        <v>29</v>
      </c>
      <c r="J4" s="11"/>
      <c r="K4" s="11"/>
      <c r="L4" s="11"/>
      <c r="M4" s="11"/>
      <c r="N4" s="11">
        <v>1</v>
      </c>
      <c r="O4" s="11">
        <v>5</v>
      </c>
      <c r="P4" s="12">
        <f>BHA_29[[#This Row],[xPoints Av.]]*BHA_29[[#This Row],[Regularity]]</f>
        <v>3.6005537612072316</v>
      </c>
      <c r="Q4" s="11" t="s">
        <v>129</v>
      </c>
    </row>
    <row r="5" spans="1:17" ht="24" x14ac:dyDescent="0.45">
      <c r="A5" s="11" t="s">
        <v>130</v>
      </c>
      <c r="B5" s="11" t="s">
        <v>62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5" s="12">
        <v>0</v>
      </c>
      <c r="F5" s="12">
        <v>0.02</v>
      </c>
      <c r="G5" s="12">
        <f>11/(3330/90)</f>
        <v>0.29729729729729731</v>
      </c>
      <c r="H5" s="11">
        <v>37</v>
      </c>
      <c r="I5" s="11">
        <v>37</v>
      </c>
      <c r="J5" s="11"/>
      <c r="K5" s="11"/>
      <c r="L5" s="11"/>
      <c r="M5" s="11"/>
      <c r="N5" s="11">
        <v>1</v>
      </c>
      <c r="O5" s="11">
        <v>5</v>
      </c>
      <c r="P5" s="12">
        <f>BHA_29[[#This Row],[xPoints Av.]]*BHA_29[[#This Row],[Regularity]]</f>
        <v>3.1891891891891895</v>
      </c>
      <c r="Q5" s="11" t="s">
        <v>129</v>
      </c>
    </row>
    <row r="6" spans="1:17" ht="24" x14ac:dyDescent="0.45">
      <c r="A6" s="11" t="s">
        <v>132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6" s="12">
        <v>0.02</v>
      </c>
      <c r="F6" s="12">
        <v>0.05</v>
      </c>
      <c r="G6" s="12">
        <f>8/(2874/90)</f>
        <v>0.25052192066805845</v>
      </c>
      <c r="H6" s="11">
        <v>32</v>
      </c>
      <c r="I6" s="11">
        <v>33</v>
      </c>
      <c r="J6" s="11"/>
      <c r="K6" s="11"/>
      <c r="L6" s="11"/>
      <c r="M6" s="11"/>
      <c r="N6" s="11">
        <v>1</v>
      </c>
      <c r="O6" s="11">
        <v>5</v>
      </c>
      <c r="P6" s="12">
        <f>BHA_29[[#This Row],[xPoints Av.]]*BHA_29[[#This Row],[Regularity]]</f>
        <v>3.1729335104700449</v>
      </c>
      <c r="Q6" s="11" t="s">
        <v>129</v>
      </c>
    </row>
    <row r="7" spans="1:17" ht="24" x14ac:dyDescent="0.45">
      <c r="A7" s="11" t="s">
        <v>145</v>
      </c>
      <c r="B7" s="11" t="s">
        <v>84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7" s="12">
        <v>0.51</v>
      </c>
      <c r="F7" s="12">
        <v>0.06</v>
      </c>
      <c r="G7" s="12">
        <f>5/(1469/90)</f>
        <v>0.30633083730428862</v>
      </c>
      <c r="H7" s="11">
        <v>15</v>
      </c>
      <c r="I7" s="11">
        <v>23</v>
      </c>
      <c r="J7" s="11"/>
      <c r="K7" s="11"/>
      <c r="L7" s="11"/>
      <c r="M7" s="11"/>
      <c r="N7" s="11">
        <v>1</v>
      </c>
      <c r="O7" s="11">
        <v>5</v>
      </c>
      <c r="P7" s="12">
        <f>BHA_29[[#This Row],[xPoints Av.]]*BHA_29[[#This Row],[Regularity]]</f>
        <v>2.7521739130434786</v>
      </c>
      <c r="Q7" s="11" t="s">
        <v>129</v>
      </c>
    </row>
    <row r="8" spans="1:17" ht="24" x14ac:dyDescent="0.45">
      <c r="A8" s="11" t="s">
        <v>144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8" s="12">
        <v>0.33</v>
      </c>
      <c r="F8" s="12">
        <v>0.1</v>
      </c>
      <c r="G8" s="12">
        <f>7/(2269/90)</f>
        <v>0.27765535478184222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BHA_29[[#This Row],[xPoints Av.]]*BHA_29[[#This Row],[Regularity]]</f>
        <v>2.2754285714285714</v>
      </c>
      <c r="Q8" s="11" t="s">
        <v>129</v>
      </c>
    </row>
    <row r="9" spans="1:17" ht="24" x14ac:dyDescent="0.45">
      <c r="A9" s="11" t="s">
        <v>139</v>
      </c>
      <c r="B9" s="11" t="s">
        <v>75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9" s="12">
        <v>0.13</v>
      </c>
      <c r="F9" s="12">
        <v>0.25</v>
      </c>
      <c r="G9" s="12">
        <f>8/(2033/90)</f>
        <v>0.35415641908509593</v>
      </c>
      <c r="H9" s="11">
        <v>22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BHA_29[[#This Row],[xPoints Av.]]*BHA_29[[#This Row],[Regularity]]</f>
        <v>2.2322011140505977</v>
      </c>
      <c r="Q9" s="11" t="s">
        <v>129</v>
      </c>
    </row>
    <row r="10" spans="1:17" ht="24" x14ac:dyDescent="0.45">
      <c r="A10" s="14" t="s">
        <v>138</v>
      </c>
      <c r="B10" s="11" t="s">
        <v>75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0" s="12">
        <v>0.28999999999999998</v>
      </c>
      <c r="F10" s="12">
        <v>0.09</v>
      </c>
      <c r="G10" s="12">
        <f>6/(2112/90)</f>
        <v>0.25568181818181818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BHA_29[[#This Row],[xPoints Av.]]*BHA_29[[#This Row],[Regularity]]</f>
        <v>2.197087320574163</v>
      </c>
      <c r="Q10" s="11" t="s">
        <v>129</v>
      </c>
    </row>
    <row r="11" spans="1:17" ht="24" x14ac:dyDescent="0.45">
      <c r="A11" s="11" t="s">
        <v>135</v>
      </c>
      <c r="B11" s="11" t="s">
        <v>64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11" s="12">
        <v>0.09</v>
      </c>
      <c r="F11" s="12">
        <v>0</v>
      </c>
      <c r="G11" s="12">
        <f>4/(1429/90)</f>
        <v>0.25192442267319803</v>
      </c>
      <c r="H11" s="11">
        <v>14</v>
      </c>
      <c r="I11" s="11">
        <v>24</v>
      </c>
      <c r="J11" s="11"/>
      <c r="K11" s="11"/>
      <c r="L11" s="11"/>
      <c r="M11" s="11"/>
      <c r="N11" s="11">
        <v>1</v>
      </c>
      <c r="O11" s="11">
        <v>4</v>
      </c>
      <c r="P11" s="12">
        <f>BHA_29[[#This Row],[xPoints Av.]]*BHA_29[[#This Row],[Regularity]]</f>
        <v>2.0694903195707957</v>
      </c>
      <c r="Q11" s="11" t="s">
        <v>129</v>
      </c>
    </row>
    <row r="12" spans="1:17" ht="24" x14ac:dyDescent="0.45">
      <c r="A12" s="11" t="s">
        <v>143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2" s="12">
        <v>0.16</v>
      </c>
      <c r="F12" s="12">
        <v>0.14000000000000001</v>
      </c>
      <c r="G12" s="12">
        <f>5/(1694/90)</f>
        <v>0.26564344746162927</v>
      </c>
      <c r="H12" s="11">
        <v>17</v>
      </c>
      <c r="I12" s="11">
        <v>29</v>
      </c>
      <c r="J12" s="11"/>
      <c r="K12" s="11"/>
      <c r="L12" s="11"/>
      <c r="M12" s="11"/>
      <c r="N12" s="11">
        <v>1</v>
      </c>
      <c r="O12" s="11">
        <v>4</v>
      </c>
      <c r="P12" s="12">
        <f>BHA_29[[#This Row],[xPoints Av.]]*BHA_29[[#This Row],[Regularity]]</f>
        <v>2.043308227822334</v>
      </c>
      <c r="Q12" s="11" t="s">
        <v>129</v>
      </c>
    </row>
    <row r="13" spans="1:17" ht="24" x14ac:dyDescent="0.45">
      <c r="A13" s="11" t="s">
        <v>140</v>
      </c>
      <c r="B13" s="11" t="s">
        <v>75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2.6185781990521328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0.67647058823529416</v>
      </c>
      <c r="E13" s="12">
        <v>0.04</v>
      </c>
      <c r="F13" s="12">
        <v>0.04</v>
      </c>
      <c r="G13" s="12">
        <f>7/(2110/90)</f>
        <v>0.29857819905213273</v>
      </c>
      <c r="H13" s="11">
        <v>23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BHA_29[[#This Row],[xPoints Av.]]*BHA_29[[#This Row],[Regularity]]</f>
        <v>1.7713911346529134</v>
      </c>
      <c r="Q13" s="11" t="s">
        <v>129</v>
      </c>
    </row>
    <row r="14" spans="1:17" ht="24" x14ac:dyDescent="0.45">
      <c r="A14" s="11" t="s">
        <v>136</v>
      </c>
      <c r="B14" s="11" t="s">
        <v>64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14" s="12">
        <v>0.06</v>
      </c>
      <c r="F14" s="12">
        <v>0.01</v>
      </c>
      <c r="G14" s="12">
        <f>4/(1434/90)</f>
        <v>0.2510460251046025</v>
      </c>
      <c r="H14" s="11">
        <v>15</v>
      </c>
      <c r="I14" s="11">
        <v>31</v>
      </c>
      <c r="J14" s="11"/>
      <c r="K14" s="11"/>
      <c r="L14" s="11"/>
      <c r="M14" s="11"/>
      <c r="N14" s="11">
        <v>1</v>
      </c>
      <c r="O14" s="11">
        <v>4</v>
      </c>
      <c r="P14" s="12">
        <f>BHA_29[[#This Row],[xPoints Av.]]*BHA_29[[#This Row],[Regularity]]</f>
        <v>1.6423471453637468</v>
      </c>
      <c r="Q14" s="11" t="s">
        <v>129</v>
      </c>
    </row>
    <row r="15" spans="1:17" ht="24" x14ac:dyDescent="0.45">
      <c r="A15" s="11" t="s">
        <v>142</v>
      </c>
      <c r="B15" s="11" t="s">
        <v>75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5" s="12">
        <v>0.18</v>
      </c>
      <c r="F15" s="12">
        <v>0.14000000000000001</v>
      </c>
      <c r="G15" s="12">
        <f>3/(990/90)</f>
        <v>0.27272727272727271</v>
      </c>
      <c r="H15" s="11">
        <v>9</v>
      </c>
      <c r="I15" s="11">
        <v>20</v>
      </c>
      <c r="J15" s="11"/>
      <c r="K15" s="11"/>
      <c r="L15" s="11"/>
      <c r="M15" s="11"/>
      <c r="N15" s="11">
        <v>1</v>
      </c>
      <c r="O15" s="11">
        <v>4</v>
      </c>
      <c r="P15" s="12">
        <f>BHA_29[[#This Row],[xPoints Av.]]*BHA_29[[#This Row],[Regularity]]</f>
        <v>1.6167272727272728</v>
      </c>
      <c r="Q15" s="11" t="s">
        <v>129</v>
      </c>
    </row>
    <row r="16" spans="1:17" ht="24" x14ac:dyDescent="0.45">
      <c r="A16" s="11" t="s">
        <v>134</v>
      </c>
      <c r="B16" s="11" t="s">
        <v>64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16" s="12">
        <v>0.06</v>
      </c>
      <c r="F16" s="12">
        <v>0.17</v>
      </c>
      <c r="G16" s="12">
        <f>6/(1547/90)</f>
        <v>0.34906270200387846</v>
      </c>
      <c r="H16" s="11">
        <v>14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BHA_29[[#This Row],[xPoints Av.]]*BHA_29[[#This Row],[Regularity]]</f>
        <v>1.6142570624923565</v>
      </c>
      <c r="Q16" s="11" t="s">
        <v>129</v>
      </c>
    </row>
    <row r="17" spans="1:17" ht="24" x14ac:dyDescent="0.45">
      <c r="A17" s="11" t="s">
        <v>141</v>
      </c>
      <c r="B17" s="11" t="s">
        <v>75</v>
      </c>
      <c r="C1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7" s="12">
        <v>0.08</v>
      </c>
      <c r="F17" s="12">
        <v>0.16</v>
      </c>
      <c r="G17" s="12">
        <f>7/(1733/90)</f>
        <v>0.36353144835545298</v>
      </c>
      <c r="H17" s="11">
        <v>18</v>
      </c>
      <c r="I17" s="11">
        <v>37</v>
      </c>
      <c r="J17" s="11"/>
      <c r="K17" s="11"/>
      <c r="L17" s="11"/>
      <c r="M17" s="11"/>
      <c r="N17" s="11">
        <v>1</v>
      </c>
      <c r="O17" s="11">
        <v>4</v>
      </c>
      <c r="P17" s="12">
        <f>BHA_29[[#This Row],[xPoints Av.]]*BHA_29[[#This Row],[Regularity]]</f>
        <v>1.5779342181188691</v>
      </c>
      <c r="Q17" s="11" t="s">
        <v>129</v>
      </c>
    </row>
  </sheetData>
  <dataValidations count="1">
    <dataValidation type="list" allowBlank="1" showInputMessage="1" showErrorMessage="1" sqref="B2:B17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20"/>
  <sheetViews>
    <sheetView workbookViewId="0">
      <selection activeCell="L13" sqref="L13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449</v>
      </c>
      <c r="B2" s="11" t="s">
        <v>84</v>
      </c>
      <c r="C2" s="12">
        <f>IF(MAX(GameRecord[GW]) &lt;= 19, BOU_30[[#This Row],[xPoints Av.]] *1.5, BOU_30[[#This Row],[xPoints Av.]])</f>
        <v>3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BOU_30[[#This Row],[xPoints Scaled]]*BOU_30[[#This Row],[Regularity]]</f>
        <v>3</v>
      </c>
      <c r="M2" s="11" t="s">
        <v>24</v>
      </c>
    </row>
    <row r="3" spans="1:13" ht="24" x14ac:dyDescent="0.45">
      <c r="A3" s="11" t="s">
        <v>450</v>
      </c>
      <c r="B3" s="11" t="s">
        <v>62</v>
      </c>
      <c r="C3" s="12">
        <f>IF(MAX(GameRecord[GW]) &lt;= 19, BOU_30[[#This Row],[xPoints Av.]] *1.5, BOU_30[[#This Row],[xPoints Av.]])</f>
        <v>3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BOU_30[[#This Row],[xPoints Scaled]]*BOU_30[[#This Row],[Regularity]]</f>
        <v>3</v>
      </c>
      <c r="M3" s="11" t="s">
        <v>24</v>
      </c>
    </row>
    <row r="4" spans="1:13" ht="24" x14ac:dyDescent="0.45">
      <c r="A4" s="11" t="s">
        <v>451</v>
      </c>
      <c r="B4" s="11" t="s">
        <v>64</v>
      </c>
      <c r="C4" s="12">
        <f>IF(MAX(GameRecord[GW]) &lt;= 19, BOU_30[[#This Row],[xPoints Av.]] *1.5, BOU_30[[#This Row],[xPoints Av.]])</f>
        <v>3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BOU_30[[#This Row],[xPoints Scaled]]*BOU_30[[#This Row],[Regularity]]</f>
        <v>3</v>
      </c>
      <c r="M4" s="11" t="s">
        <v>24</v>
      </c>
    </row>
    <row r="5" spans="1:13" ht="24" x14ac:dyDescent="0.45">
      <c r="A5" s="11" t="s">
        <v>452</v>
      </c>
      <c r="B5" s="11" t="s">
        <v>75</v>
      </c>
      <c r="C5" s="12">
        <f>IF(MAX(GameRecord[GW]) &lt;= 19, BOU_30[[#This Row],[xPoints Av.]] *1.5, BOU_30[[#This Row],[xPoints Av.]])</f>
        <v>3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BOU_30[[#This Row],[xPoints Scaled]]*BOU_30[[#This Row],[Regularity]]</f>
        <v>3</v>
      </c>
      <c r="M5" s="11" t="s">
        <v>24</v>
      </c>
    </row>
    <row r="6" spans="1:13" ht="24" x14ac:dyDescent="0.45">
      <c r="A6" s="11" t="s">
        <v>453</v>
      </c>
      <c r="B6" s="11" t="s">
        <v>75</v>
      </c>
      <c r="C6" s="12">
        <f>IF(MAX(GameRecord[GW]) &lt;= 19, BOU_30[[#This Row],[xPoints Av.]] *1.5, BOU_30[[#This Row],[xPoints Av.]])</f>
        <v>3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BOU_30[[#This Row],[xPoints Scaled]]*BOU_30[[#This Row],[Regularity]]</f>
        <v>3</v>
      </c>
      <c r="M6" s="11" t="s">
        <v>24</v>
      </c>
    </row>
    <row r="7" spans="1:13" ht="24" x14ac:dyDescent="0.45">
      <c r="A7" s="11" t="s">
        <v>454</v>
      </c>
      <c r="B7" s="11" t="s">
        <v>75</v>
      </c>
      <c r="C7" s="12">
        <f>IF(MAX(GameRecord[GW]) &lt;= 19, BOU_30[[#This Row],[xPoints Av.]] *1.5, BOU_30[[#This Row],[xPoints Av.]])</f>
        <v>3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BOU_30[[#This Row],[xPoints Scaled]]*BOU_30[[#This Row],[Regularity]]</f>
        <v>3</v>
      </c>
      <c r="M7" s="11" t="s">
        <v>24</v>
      </c>
    </row>
    <row r="8" spans="1:13" ht="24" x14ac:dyDescent="0.45">
      <c r="A8" s="11" t="s">
        <v>455</v>
      </c>
      <c r="B8" s="11" t="s">
        <v>64</v>
      </c>
      <c r="C8" s="12">
        <f>IF(MAX(GameRecord[GW]) &lt;= 19, BOU_30[[#This Row],[xPoints Av.]] *1.5, BOU_30[[#This Row],[xPoints Av.]])</f>
        <v>3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BOU_30[[#This Row],[xPoints Scaled]]*BOU_30[[#This Row],[Regularity]]</f>
        <v>3</v>
      </c>
      <c r="M8" s="11" t="s">
        <v>24</v>
      </c>
    </row>
    <row r="9" spans="1:13" ht="24" x14ac:dyDescent="0.45">
      <c r="A9" s="11" t="s">
        <v>456</v>
      </c>
      <c r="B9" s="11" t="s">
        <v>75</v>
      </c>
      <c r="C9" s="12">
        <f>IF(MAX(GameRecord[GW]) &lt;= 19, BOU_30[[#This Row],[xPoints Av.]] *1.5, BOU_30[[#This Row],[xPoints Av.]])</f>
        <v>3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</v>
      </c>
      <c r="L9" s="12">
        <f>BOU_30[[#This Row],[xPoints Scaled]]*BOU_30[[#This Row],[Regularity]]</f>
        <v>3</v>
      </c>
      <c r="M9" s="11" t="s">
        <v>24</v>
      </c>
    </row>
    <row r="10" spans="1:13" ht="24" x14ac:dyDescent="0.45">
      <c r="A10" s="11" t="s">
        <v>457</v>
      </c>
      <c r="B10" s="11" t="s">
        <v>75</v>
      </c>
      <c r="C10" s="12">
        <f>IF(MAX(GameRecord[GW]) &lt;= 19, BOU_30[[#This Row],[xPoints Av.]] *1.5, BOU_30[[#This Row],[xPoints Av.]])</f>
        <v>3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BOU_30[[#This Row],[xPoints Scaled]]*BOU_30[[#This Row],[Regularity]]</f>
        <v>3</v>
      </c>
      <c r="M10" s="11" t="s">
        <v>24</v>
      </c>
    </row>
    <row r="11" spans="1:13" ht="24" x14ac:dyDescent="0.45">
      <c r="A11" s="11" t="s">
        <v>458</v>
      </c>
      <c r="B11" s="11" t="s">
        <v>64</v>
      </c>
      <c r="C11" s="12">
        <f>IF(MAX(GameRecord[GW]) &lt;= 19, BOU_30[[#This Row],[xPoints Av.]] *1.5, BOU_30[[#This Row],[xPoints Av.]])</f>
        <v>3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BOU_30[[#This Row],[xPoints Scaled]]*BOU_30[[#This Row],[Regularity]]</f>
        <v>3</v>
      </c>
      <c r="M11" s="11" t="s">
        <v>24</v>
      </c>
    </row>
    <row r="12" spans="1:13" ht="24" x14ac:dyDescent="0.45">
      <c r="A12" s="11" t="s">
        <v>459</v>
      </c>
      <c r="B12" s="11" t="s">
        <v>64</v>
      </c>
      <c r="C12" s="12">
        <f>IF(MAX(GameRecord[GW]) &lt;= 19, BOU_30[[#This Row],[xPoints Av.]] *1.5, BOU_30[[#This Row],[xPoints Av.]])</f>
        <v>3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BOU_30[[#This Row],[xPoints Scaled]]*BOU_30[[#This Row],[Regularity]]</f>
        <v>3</v>
      </c>
      <c r="M12" s="11" t="s">
        <v>24</v>
      </c>
    </row>
    <row r="13" spans="1:13" ht="24" x14ac:dyDescent="0.45">
      <c r="A13" s="11" t="s">
        <v>460</v>
      </c>
      <c r="B13" s="11" t="s">
        <v>64</v>
      </c>
      <c r="C13" s="12">
        <f>IF(MAX(GameRecord[GW]) &lt;= 19, BOU_30[[#This Row],[xPoints Av.]] *1.5, BOU_30[[#This Row],[xPoints Av.]])</f>
        <v>3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BOU_30[[#This Row],[xPoints Scaled]]*BOU_30[[#This Row],[Regularity]]</f>
        <v>3</v>
      </c>
      <c r="M13" s="11" t="s">
        <v>24</v>
      </c>
    </row>
    <row r="14" spans="1:13" ht="24" x14ac:dyDescent="0.45">
      <c r="A14" s="11" t="s">
        <v>241</v>
      </c>
      <c r="B14" s="11" t="s">
        <v>64</v>
      </c>
      <c r="C14" s="12">
        <f>IF(MAX(GameRecord[GW]) &lt;= 19, BOU_30[[#This Row],[xPoints Av.]] *1.5, BOU_30[[#This Row],[xPoints Av.]])</f>
        <v>3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BOU_30[[#This Row],[xPoints Scaled]]*BOU_30[[#This Row],[Regularity]]</f>
        <v>3</v>
      </c>
      <c r="M14" s="11" t="s">
        <v>24</v>
      </c>
    </row>
    <row r="15" spans="1:13" ht="24" x14ac:dyDescent="0.45">
      <c r="A15" s="11" t="s">
        <v>461</v>
      </c>
      <c r="B15" s="11" t="s">
        <v>75</v>
      </c>
      <c r="C15" s="12">
        <f>IF(MAX(GameRecord[GW]) &lt;= 19, BOU_30[[#This Row],[xPoints Av.]] *1.5, BOU_30[[#This Row],[xPoints Av.]])</f>
        <v>3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BOU_30[[#This Row],[xPoints Scaled]]*BOU_30[[#This Row],[Regularity]]</f>
        <v>3</v>
      </c>
      <c r="M15" s="11" t="s">
        <v>24</v>
      </c>
    </row>
    <row r="16" spans="1:13" ht="24" x14ac:dyDescent="0.45">
      <c r="A16" s="11" t="s">
        <v>462</v>
      </c>
      <c r="B16" s="11" t="s">
        <v>75</v>
      </c>
      <c r="C16" s="12">
        <f>IF(MAX(GameRecord[GW]) &lt;= 19, BOU_30[[#This Row],[xPoints Av.]] *1.5, BOU_30[[#This Row],[xPoints Av.]])</f>
        <v>3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BOU_30[[#This Row],[xPoints Scaled]]*BOU_30[[#This Row],[Regularity]]</f>
        <v>3</v>
      </c>
      <c r="M16" s="11" t="s">
        <v>24</v>
      </c>
    </row>
    <row r="17" spans="1:13" ht="24" x14ac:dyDescent="0.45">
      <c r="A17" s="11" t="s">
        <v>463</v>
      </c>
      <c r="B17" s="11" t="s">
        <v>64</v>
      </c>
      <c r="C17" s="12">
        <f>IF(MAX(GameRecord[GW]) &lt;= 19, BOU_30[[#This Row],[xPoints Av.]] *1.5, BOU_30[[#This Row],[xPoints Av.]])</f>
        <v>3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BOU_30[[#This Row],[xPoints Scaled]]*BOU_30[[#This Row],[Regularity]]</f>
        <v>3</v>
      </c>
      <c r="M17" s="11" t="s">
        <v>24</v>
      </c>
    </row>
    <row r="18" spans="1:13" ht="24" x14ac:dyDescent="0.45">
      <c r="A18" s="11" t="s">
        <v>464</v>
      </c>
      <c r="B18" s="11" t="s">
        <v>75</v>
      </c>
      <c r="C18" s="12">
        <f>IF(MAX(GameRecord[GW]) &lt;= 19, BOU_30[[#This Row],[xPoints Av.]] *1.5, BOU_30[[#This Row],[xPoints Av.]])</f>
        <v>3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BOU_30[[#This Row],[xPoints Scaled]]*BOU_30[[#This Row],[Regularity]]</f>
        <v>3</v>
      </c>
      <c r="M18" s="11" t="s">
        <v>24</v>
      </c>
    </row>
    <row r="19" spans="1:13" ht="24" x14ac:dyDescent="0.45">
      <c r="A19" s="11" t="s">
        <v>465</v>
      </c>
      <c r="B19" s="11" t="s">
        <v>75</v>
      </c>
      <c r="C19" s="12">
        <f>IF(MAX(GameRecord[GW]) &lt;= 19, BOU_30[[#This Row],[xPoints Av.]] *1.5, BOU_30[[#This Row],[xPoints Av.]])</f>
        <v>3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BOU_30[[#This Row],[xPoints Scaled]]*BOU_30[[#This Row],[Regularity]]</f>
        <v>3</v>
      </c>
      <c r="M19" s="11" t="s">
        <v>24</v>
      </c>
    </row>
    <row r="20" spans="1:13" ht="24" x14ac:dyDescent="0.45">
      <c r="A20" s="11" t="s">
        <v>466</v>
      </c>
      <c r="B20" s="11" t="s">
        <v>64</v>
      </c>
      <c r="C20" s="12">
        <f>IF(MAX(GameRecord[GW]) &lt;= 19, BOU_30[[#This Row],[xPoints Av.]] *1.5, BOU_30[[#This Row],[xPoints Av.]])</f>
        <v>3</v>
      </c>
      <c r="D2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0" s="12">
        <f>(BOU_30[[#This Row],[60+Mins This Season]]/BOU_30[[#This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4</v>
      </c>
      <c r="L20" s="12">
        <f>BOU_30[[#This Row],[xPoints Scaled]]*BOU_30[[#This Row],[Regularity]]</f>
        <v>3</v>
      </c>
      <c r="M20" s="11" t="s">
        <v>24</v>
      </c>
    </row>
  </sheetData>
  <dataValidations count="1">
    <dataValidation type="list" allowBlank="1" showInputMessage="1" showErrorMessage="1" sqref="B2:B20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20"/>
  <sheetViews>
    <sheetView workbookViewId="0">
      <selection activeCell="O5" sqref="O5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>
        <v>6</v>
      </c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155</v>
      </c>
      <c r="B4" s="11" t="s">
        <v>75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4" s="12">
        <v>0.32</v>
      </c>
      <c r="F4" s="12">
        <v>0.27</v>
      </c>
      <c r="G4" s="12">
        <f>11/(2358/90)</f>
        <v>0.41984732824427484</v>
      </c>
      <c r="H4" s="11">
        <v>26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CHE_31[[#This Row],[xPoints Av.]]*CHE_31[[#This Row],[Regularity]]</f>
        <v>3.6934126627750339</v>
      </c>
      <c r="Q4" s="11" t="s">
        <v>9</v>
      </c>
    </row>
    <row r="5" spans="1:17" ht="24" x14ac:dyDescent="0.45">
      <c r="A5" s="11" t="s">
        <v>147</v>
      </c>
      <c r="B5" s="11" t="s">
        <v>62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5" s="12">
        <v>0</v>
      </c>
      <c r="F5" s="12">
        <v>0</v>
      </c>
      <c r="G5" s="12">
        <f>14/(3060/90)</f>
        <v>0.41176470588235292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6</v>
      </c>
      <c r="P5" s="12">
        <f>CHE_31[[#This Row],[xPoints Av.]]*CHE_31[[#This Row],[Regularity]]</f>
        <v>3.6470588235294117</v>
      </c>
      <c r="Q5" s="11" t="s">
        <v>9</v>
      </c>
    </row>
    <row r="6" spans="1:17" ht="24" x14ac:dyDescent="0.45">
      <c r="A6" s="11" t="s">
        <v>150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6" s="12">
        <v>0.14000000000000001</v>
      </c>
      <c r="F6" s="12">
        <v>0.21</v>
      </c>
      <c r="G6" s="12">
        <f>9/(2164/90)</f>
        <v>0.37430683918669133</v>
      </c>
      <c r="H6" s="11">
        <v>24</v>
      </c>
      <c r="I6" s="11">
        <v>35</v>
      </c>
      <c r="J6" s="11"/>
      <c r="K6" s="11"/>
      <c r="L6" s="11"/>
      <c r="M6" s="11"/>
      <c r="N6" s="11">
        <v>1</v>
      </c>
      <c r="O6" s="11">
        <v>5</v>
      </c>
      <c r="P6" s="12">
        <f>CHE_31[[#This Row],[xPoints Av.]]*CHE_31[[#This Row],[Regularity]]</f>
        <v>3.4060987589120679</v>
      </c>
      <c r="Q6" s="11" t="s">
        <v>9</v>
      </c>
    </row>
    <row r="7" spans="1:17" ht="24" x14ac:dyDescent="0.45">
      <c r="A7" s="11" t="s">
        <v>149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7" s="12">
        <v>0.04</v>
      </c>
      <c r="F7" s="12">
        <v>0.01</v>
      </c>
      <c r="G7" s="12">
        <f>11/(2649/90)</f>
        <v>0.37372593431483581</v>
      </c>
      <c r="H7" s="11">
        <v>28</v>
      </c>
      <c r="I7" s="11">
        <v>34</v>
      </c>
      <c r="J7" s="11"/>
      <c r="K7" s="11"/>
      <c r="L7" s="11"/>
      <c r="M7" s="11"/>
      <c r="N7" s="11">
        <v>1</v>
      </c>
      <c r="O7" s="11">
        <v>5</v>
      </c>
      <c r="P7" s="12">
        <f>CHE_31[[#This Row],[xPoints Av.]]*CHE_31[[#This Row],[Regularity]]</f>
        <v>3.1005089600959295</v>
      </c>
      <c r="Q7" s="11" t="s">
        <v>9</v>
      </c>
    </row>
    <row r="8" spans="1:17" ht="24" x14ac:dyDescent="0.45">
      <c r="A8" s="11" t="s">
        <v>156</v>
      </c>
      <c r="B8" s="11" t="s">
        <v>75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5.5394450610432857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8" s="12">
        <v>0.53</v>
      </c>
      <c r="F8" s="12">
        <v>0.13</v>
      </c>
      <c r="G8" s="12">
        <f>10/(1802/90)</f>
        <v>0.49944506104328523</v>
      </c>
      <c r="H8" s="11">
        <v>19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CHE_31[[#This Row],[xPoints Av.]]*CHE_31[[#This Row],[Regularity]]</f>
        <v>3.0955722399947776</v>
      </c>
      <c r="Q8" s="11" t="s">
        <v>9</v>
      </c>
    </row>
    <row r="9" spans="1:17" ht="24" x14ac:dyDescent="0.45">
      <c r="A9" s="11" t="s">
        <v>185</v>
      </c>
      <c r="B9" s="11" t="s">
        <v>75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9" s="12">
        <v>0.43</v>
      </c>
      <c r="F9" s="12">
        <v>0.09</v>
      </c>
      <c r="G9" s="12">
        <v>0.42121684867394699</v>
      </c>
      <c r="H9" s="11">
        <v>13</v>
      </c>
      <c r="I9" s="11">
        <v>22</v>
      </c>
      <c r="J9" s="11"/>
      <c r="K9" s="11"/>
      <c r="L9" s="11"/>
      <c r="M9" s="11"/>
      <c r="N9" s="11">
        <v>1</v>
      </c>
      <c r="O9" s="11">
        <v>5</v>
      </c>
      <c r="P9" s="12">
        <f>CHE_31[[#This Row],[xPoints Av.]]*CHE_31[[#This Row],[Regularity]]</f>
        <v>2.8607190469436956</v>
      </c>
      <c r="Q9" s="11" t="s">
        <v>9</v>
      </c>
    </row>
    <row r="10" spans="1:17" ht="24" x14ac:dyDescent="0.45">
      <c r="A10" s="11" t="s">
        <v>183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0" s="12">
        <v>0.09</v>
      </c>
      <c r="F10" s="12">
        <v>0.11</v>
      </c>
      <c r="G10" s="12">
        <v>0.45788581119276428</v>
      </c>
      <c r="H10" s="11">
        <v>19</v>
      </c>
      <c r="I10" s="11">
        <v>22</v>
      </c>
      <c r="J10" s="11"/>
      <c r="K10" s="11"/>
      <c r="L10" s="11"/>
      <c r="M10" s="11"/>
      <c r="N10" s="11">
        <v>1</v>
      </c>
      <c r="O10" s="11">
        <v>5</v>
      </c>
      <c r="P10" s="12">
        <f>CHE_31[[#This Row],[xPoints Av.]]*CHE_31[[#This Row],[Regularity]]</f>
        <v>2.7963559278482961</v>
      </c>
      <c r="Q10" s="11" t="s">
        <v>9</v>
      </c>
    </row>
    <row r="11" spans="1:17" ht="24" x14ac:dyDescent="0.45">
      <c r="A11" s="11" t="s">
        <v>180</v>
      </c>
      <c r="B11" s="11" t="s">
        <v>75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1" s="12">
        <v>0.23</v>
      </c>
      <c r="F11" s="12">
        <v>0.11</v>
      </c>
      <c r="G11" s="12">
        <v>0.47556142668428003</v>
      </c>
      <c r="H11" s="11">
        <v>25</v>
      </c>
      <c r="I11" s="11">
        <v>36</v>
      </c>
      <c r="J11" s="11"/>
      <c r="K11" s="11"/>
      <c r="L11" s="11"/>
      <c r="M11" s="11"/>
      <c r="N11" s="11">
        <v>1</v>
      </c>
      <c r="O11" s="11">
        <v>5</v>
      </c>
      <c r="P11" s="12">
        <f>CHE_31[[#This Row],[xPoints Av.]]*CHE_31[[#This Row],[Regularity]]</f>
        <v>2.746917657419639</v>
      </c>
      <c r="Q11" s="11" t="s">
        <v>9</v>
      </c>
    </row>
    <row r="12" spans="1:17" ht="24" x14ac:dyDescent="0.45">
      <c r="A12" s="11" t="s">
        <v>152</v>
      </c>
      <c r="B12" s="11" t="s">
        <v>64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12" s="12">
        <v>0.05</v>
      </c>
      <c r="F12" s="12">
        <v>0.09</v>
      </c>
      <c r="G12" s="12">
        <f>7/(2067/90)</f>
        <v>0.30478955007256897</v>
      </c>
      <c r="H12" s="11">
        <v>23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CHE_31[[#This Row],[xPoints Av.]]*CHE_31[[#This Row],[Regularity]]</f>
        <v>2.723457456458636</v>
      </c>
      <c r="Q12" s="11" t="s">
        <v>9</v>
      </c>
    </row>
    <row r="13" spans="1:17" ht="24" x14ac:dyDescent="0.45">
      <c r="A13" s="11" t="s">
        <v>186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3" s="12">
        <v>0.1</v>
      </c>
      <c r="F13" s="12">
        <v>0.24</v>
      </c>
      <c r="G13" s="12">
        <v>0.46391752577319589</v>
      </c>
      <c r="H13" s="11">
        <v>15</v>
      </c>
      <c r="I13" s="11">
        <v>23</v>
      </c>
      <c r="J13" s="11"/>
      <c r="K13" s="11"/>
      <c r="L13" s="11"/>
      <c r="M13" s="11"/>
      <c r="N13" s="11">
        <v>1</v>
      </c>
      <c r="O13" s="11">
        <v>4</v>
      </c>
      <c r="P13" s="12">
        <f>CHE_31[[#This Row],[xPoints Av.]]*CHE_31[[#This Row],[Regularity]]</f>
        <v>2.4025549081129536</v>
      </c>
      <c r="Q13" s="11" t="s">
        <v>9</v>
      </c>
    </row>
    <row r="14" spans="1:17" ht="24" x14ac:dyDescent="0.45">
      <c r="A14" s="14" t="s">
        <v>153</v>
      </c>
      <c r="B14" s="11" t="s">
        <v>64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4.4986746987951802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</v>
      </c>
      <c r="E14" s="12">
        <v>0.05</v>
      </c>
      <c r="F14" s="12">
        <v>0.01</v>
      </c>
      <c r="G14" s="12">
        <f>9/(1494/90)</f>
        <v>0.54216867469879515</v>
      </c>
      <c r="H14" s="11">
        <v>15</v>
      </c>
      <c r="I14" s="11">
        <v>30</v>
      </c>
      <c r="J14" s="11"/>
      <c r="K14" s="11"/>
      <c r="L14" s="11"/>
      <c r="M14" s="11"/>
      <c r="N14" s="11">
        <v>1</v>
      </c>
      <c r="O14" s="11">
        <v>4</v>
      </c>
      <c r="P14" s="12">
        <f>CHE_31[[#This Row],[xPoints Av.]]*CHE_31[[#This Row],[Regularity]]</f>
        <v>2.2493373493975901</v>
      </c>
      <c r="Q14" s="11" t="s">
        <v>9</v>
      </c>
    </row>
    <row r="15" spans="1:17" ht="24" x14ac:dyDescent="0.45">
      <c r="A15" s="11" t="s">
        <v>189</v>
      </c>
      <c r="B15" s="11" t="s">
        <v>84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4.17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0.51724137931034486</v>
      </c>
      <c r="E15" s="12">
        <v>0.4</v>
      </c>
      <c r="F15" s="12">
        <v>0.19</v>
      </c>
      <c r="G15" s="12">
        <v>0.3979785217940619</v>
      </c>
      <c r="H15" s="18">
        <v>15</v>
      </c>
      <c r="I15" s="18">
        <v>29</v>
      </c>
      <c r="J15" s="11"/>
      <c r="K15" s="11"/>
      <c r="L15" s="11"/>
      <c r="M15" s="11"/>
      <c r="N15" s="11">
        <v>1</v>
      </c>
      <c r="O15" s="11">
        <v>4</v>
      </c>
      <c r="P15" s="12">
        <f>CHE_31[[#This Row],[xPoints Av.]]*CHE_31[[#This Row],[Regularity]]</f>
        <v>2.1568965517241381</v>
      </c>
      <c r="Q15" s="11" t="s">
        <v>9</v>
      </c>
    </row>
    <row r="16" spans="1:17" ht="24" x14ac:dyDescent="0.45">
      <c r="A16" s="11" t="s">
        <v>151</v>
      </c>
      <c r="B16" s="11" t="s">
        <v>64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16" s="12">
        <v>7.0000000000000007E-2</v>
      </c>
      <c r="F16" s="12">
        <v>0.02</v>
      </c>
      <c r="G16" s="12">
        <f>9/(1447/90)</f>
        <v>0.55977885279889417</v>
      </c>
      <c r="H16" s="11">
        <v>14</v>
      </c>
      <c r="I16" s="11">
        <v>31</v>
      </c>
      <c r="J16" s="11"/>
      <c r="K16" s="11"/>
      <c r="L16" s="11"/>
      <c r="M16" s="11"/>
      <c r="N16" s="11">
        <v>1</v>
      </c>
      <c r="O16" s="11">
        <v>4</v>
      </c>
      <c r="P16" s="12">
        <f>CHE_31[[#This Row],[xPoints Av.]]*CHE_31[[#This Row],[Regularity]]</f>
        <v>2.1312134115076797</v>
      </c>
      <c r="Q16" s="11" t="s">
        <v>9</v>
      </c>
    </row>
    <row r="17" spans="1:17" ht="24" x14ac:dyDescent="0.45">
      <c r="A17" s="13" t="s">
        <v>188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7" s="12">
        <v>0.26</v>
      </c>
      <c r="F17" s="12">
        <v>0.24</v>
      </c>
      <c r="G17" s="12">
        <v>0.56367432150313157</v>
      </c>
      <c r="H17" s="18">
        <v>11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CHE_31[[#This Row],[xPoints Av.]]*CHE_31[[#This Row],[Regularity]]</f>
        <v>2.100850730688935</v>
      </c>
      <c r="Q17" s="11" t="s">
        <v>9</v>
      </c>
    </row>
    <row r="18" spans="1:17" ht="24" x14ac:dyDescent="0.45">
      <c r="A18" s="11" t="s">
        <v>190</v>
      </c>
      <c r="B18" s="11" t="s">
        <v>84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18" s="12">
        <v>0.43</v>
      </c>
      <c r="F18" s="12">
        <v>0.02</v>
      </c>
      <c r="G18" s="12">
        <v>0.35211267605633806</v>
      </c>
      <c r="H18" s="18">
        <v>15</v>
      </c>
      <c r="I18" s="18">
        <v>27</v>
      </c>
      <c r="J18" s="11"/>
      <c r="K18" s="11"/>
      <c r="L18" s="11"/>
      <c r="M18" s="11"/>
      <c r="N18" s="11">
        <v>1</v>
      </c>
      <c r="O18" s="11">
        <v>4</v>
      </c>
      <c r="P18" s="12">
        <f>CHE_31[[#This Row],[xPoints Av.]]*CHE_31[[#This Row],[Regularity]]</f>
        <v>2.1</v>
      </c>
      <c r="Q18" s="11" t="s">
        <v>9</v>
      </c>
    </row>
    <row r="19" spans="1:17" ht="24" x14ac:dyDescent="0.45">
      <c r="A19" s="11" t="s">
        <v>184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9" s="12">
        <v>0.21</v>
      </c>
      <c r="F19" s="12">
        <v>0.27</v>
      </c>
      <c r="G19" s="12">
        <v>0.4805491990846682</v>
      </c>
      <c r="H19" s="11">
        <v>14</v>
      </c>
      <c r="I19" s="11">
        <v>34</v>
      </c>
      <c r="J19" s="11"/>
      <c r="K19" s="11"/>
      <c r="L19" s="11"/>
      <c r="M19" s="11"/>
      <c r="N19" s="11">
        <v>1</v>
      </c>
      <c r="O19" s="11">
        <v>4</v>
      </c>
      <c r="P19" s="12">
        <f>CHE_31[[#This Row],[xPoints Av.]]*CHE_31[[#This Row],[Regularity]]</f>
        <v>1.787284964328981</v>
      </c>
      <c r="Q19" s="11" t="s">
        <v>9</v>
      </c>
    </row>
    <row r="20" spans="1:17" ht="24" x14ac:dyDescent="0.45">
      <c r="A20" s="13" t="s">
        <v>187</v>
      </c>
      <c r="B20" s="11" t="s">
        <v>75</v>
      </c>
      <c r="C2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2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20" s="12">
        <v>0.06</v>
      </c>
      <c r="F20" s="12">
        <v>0.17</v>
      </c>
      <c r="G20" s="12">
        <v>0.32514450867052025</v>
      </c>
      <c r="H20" s="11">
        <v>13</v>
      </c>
      <c r="I20" s="11">
        <v>30</v>
      </c>
      <c r="J20" s="11"/>
      <c r="K20" s="11"/>
      <c r="L20" s="11"/>
      <c r="M20" s="11"/>
      <c r="N20" s="11">
        <v>1</v>
      </c>
      <c r="O20" s="11">
        <v>4</v>
      </c>
      <c r="P20" s="12">
        <f>CHE_31[[#This Row],[xPoints Av.]]*CHE_31[[#This Row],[Regularity]]</f>
        <v>1.3585626204238923</v>
      </c>
      <c r="Q20" s="11" t="s">
        <v>9</v>
      </c>
    </row>
  </sheetData>
  <dataValidations count="1">
    <dataValidation type="list" allowBlank="1" showInputMessage="1" showErrorMessage="1" sqref="B2:B20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7"/>
  <sheetViews>
    <sheetView workbookViewId="0">
      <selection activeCell="O2" sqref="O2:O17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199</v>
      </c>
      <c r="B2" s="11" t="s">
        <v>75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2" s="12">
        <v>0.33</v>
      </c>
      <c r="F2" s="12">
        <v>0.16</v>
      </c>
      <c r="G2" s="12">
        <v>0.35882566147154765</v>
      </c>
      <c r="H2" s="11">
        <v>30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CRY_32[[#This Row],[xPoints Av.]]*CRY_32[[#This Row],[Regularity]]</f>
        <v>3.5438097327406957</v>
      </c>
      <c r="Q2" s="11" t="s">
        <v>17</v>
      </c>
    </row>
    <row r="3" spans="1:17" ht="24" x14ac:dyDescent="0.45">
      <c r="A3" s="11" t="s">
        <v>194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3" s="12">
        <v>7.0000000000000007E-2</v>
      </c>
      <c r="F3" s="12">
        <v>0.03</v>
      </c>
      <c r="G3" s="12">
        <v>0.30726256983240224</v>
      </c>
      <c r="H3" s="11">
        <v>36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CRY_32[[#This Row],[xPoints Av.]]*CRY_32[[#This Row],[Regularity]]</f>
        <v>3.5422581593648927</v>
      </c>
      <c r="Q3" s="11" t="s">
        <v>17</v>
      </c>
    </row>
    <row r="4" spans="1:17" ht="24" x14ac:dyDescent="0.45">
      <c r="A4" s="11" t="s">
        <v>200</v>
      </c>
      <c r="B4" s="11" t="s">
        <v>75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3.9382237073513893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0.86111111111111105</v>
      </c>
      <c r="E4" s="12">
        <v>0.24</v>
      </c>
      <c r="F4" s="12">
        <v>0.13</v>
      </c>
      <c r="G4" s="12">
        <v>0.34822370735138936</v>
      </c>
      <c r="H4" s="11">
        <v>31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CRY_32[[#This Row],[xPoints Av.]]*CRY_32[[#This Row],[Regularity]]</f>
        <v>3.3912481924414739</v>
      </c>
      <c r="Q4" s="11" t="s">
        <v>17</v>
      </c>
    </row>
    <row r="5" spans="1:17" ht="24" x14ac:dyDescent="0.45">
      <c r="A5" s="11" t="s">
        <v>193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5" s="12">
        <v>0.01</v>
      </c>
      <c r="F5" s="12">
        <v>0.04</v>
      </c>
      <c r="G5" s="12">
        <v>0.37062457103637608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CRY_32[[#This Row],[xPoints Av.]]*CRY_32[[#This Row],[Regularity]]</f>
        <v>3.0842090813856875</v>
      </c>
      <c r="Q5" s="11" t="s">
        <v>17</v>
      </c>
    </row>
    <row r="6" spans="1:17" ht="24" x14ac:dyDescent="0.45">
      <c r="A6" s="11" t="s">
        <v>195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6" s="12">
        <v>0.01</v>
      </c>
      <c r="F6" s="12">
        <v>0.06</v>
      </c>
      <c r="G6" s="12">
        <v>0.29022895840051594</v>
      </c>
      <c r="H6" s="11">
        <v>34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CRY_32[[#This Row],[xPoints Av.]]*CRY_32[[#This Row],[Regularity]]</f>
        <v>3.0429246932228993</v>
      </c>
      <c r="Q6" s="11" t="s">
        <v>17</v>
      </c>
    </row>
    <row r="7" spans="1:17" ht="24" x14ac:dyDescent="0.45">
      <c r="A7" s="11" t="s">
        <v>192</v>
      </c>
      <c r="B7" s="11" t="s">
        <v>62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7" s="12">
        <v>0</v>
      </c>
      <c r="F7" s="12">
        <v>0</v>
      </c>
      <c r="G7" s="12">
        <v>0.3728813559322034</v>
      </c>
      <c r="H7" s="11">
        <v>29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CRY_32[[#This Row],[xPoints Av.]]*CRY_32[[#This Row],[Regularity]]</f>
        <v>2.6645851917930421</v>
      </c>
      <c r="Q7" s="11" t="s">
        <v>17</v>
      </c>
    </row>
    <row r="8" spans="1:17" ht="24" x14ac:dyDescent="0.45">
      <c r="A8" s="11" t="s">
        <v>197</v>
      </c>
      <c r="B8" s="11" t="s">
        <v>64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8" s="12">
        <v>0.01</v>
      </c>
      <c r="F8" s="12">
        <v>0.01</v>
      </c>
      <c r="G8" s="12">
        <v>0.3258246178600161</v>
      </c>
      <c r="H8" s="11">
        <v>27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CRY_32[[#This Row],[xPoints Av.]]*CRY_32[[#This Row],[Regularity]]</f>
        <v>2.4110278612863616</v>
      </c>
      <c r="Q8" s="11" t="s">
        <v>17</v>
      </c>
    </row>
    <row r="9" spans="1:17" ht="24" x14ac:dyDescent="0.45">
      <c r="A9" s="11" t="s">
        <v>204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9" s="12">
        <v>0.37</v>
      </c>
      <c r="F9" s="12">
        <v>0.12</v>
      </c>
      <c r="G9" s="12">
        <v>0.31380753138075312</v>
      </c>
      <c r="H9" s="11">
        <v>19</v>
      </c>
      <c r="I9" s="11">
        <v>34</v>
      </c>
      <c r="J9" s="11"/>
      <c r="K9" s="11"/>
      <c r="L9" s="11"/>
      <c r="M9" s="11"/>
      <c r="N9" s="11">
        <v>1</v>
      </c>
      <c r="O9" s="11">
        <v>5</v>
      </c>
      <c r="P9" s="12">
        <f>CRY_32[[#This Row],[xPoints Av.]]*CRY_32[[#This Row],[Regularity]]</f>
        <v>2.1458823529411766</v>
      </c>
      <c r="Q9" s="11" t="s">
        <v>17</v>
      </c>
    </row>
    <row r="10" spans="1:17" ht="24" x14ac:dyDescent="0.45">
      <c r="A10" s="11" t="s">
        <v>196</v>
      </c>
      <c r="B10" s="11" t="s">
        <v>64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3.6119289340101526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0" s="12">
        <v>0.01</v>
      </c>
      <c r="F10" s="12">
        <v>0.03</v>
      </c>
      <c r="G10" s="12">
        <v>0.36548223350253806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CRY_32[[#This Row],[xPoints Av.]]*CRY_32[[#This Row],[Regularity]]</f>
        <v>1.996065989847716</v>
      </c>
      <c r="Q10" s="11" t="s">
        <v>17</v>
      </c>
    </row>
    <row r="11" spans="1:17" ht="24" x14ac:dyDescent="0.45">
      <c r="A11" s="11" t="s">
        <v>201</v>
      </c>
      <c r="B11" s="11" t="s">
        <v>75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1" s="12">
        <v>0.18</v>
      </c>
      <c r="F11" s="12">
        <v>0.1</v>
      </c>
      <c r="G11" s="12">
        <v>0.39130434782608697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CRY_32[[#This Row],[xPoints Av.]]*CRY_32[[#This Row],[Regularity]]</f>
        <v>1.7956521739130435</v>
      </c>
      <c r="Q11" s="11" t="s">
        <v>17</v>
      </c>
    </row>
    <row r="12" spans="1:17" ht="24" x14ac:dyDescent="0.45">
      <c r="A12" s="11" t="s">
        <v>205</v>
      </c>
      <c r="B12" s="11" t="s">
        <v>84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3.15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2" s="12">
        <v>0.19</v>
      </c>
      <c r="F12" s="12">
        <v>0.13</v>
      </c>
      <c r="G12" s="12">
        <v>0.40258449304174954</v>
      </c>
      <c r="H12" s="11">
        <v>21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CRY_32[[#This Row],[xPoints Av.]]*CRY_32[[#This Row],[Regularity]]</f>
        <v>1.7407894736842107</v>
      </c>
      <c r="Q12" s="11" t="s">
        <v>17</v>
      </c>
    </row>
    <row r="13" spans="1:17" ht="24" x14ac:dyDescent="0.45">
      <c r="A13" s="11" t="s">
        <v>198</v>
      </c>
      <c r="B13" s="11" t="s">
        <v>64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3" s="12">
        <v>0</v>
      </c>
      <c r="F13" s="12">
        <v>0.02</v>
      </c>
      <c r="G13" s="12">
        <v>0.3997039230199852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CRY_32[[#This Row],[xPoints Av.]]*CRY_32[[#This Row],[Regularity]]</f>
        <v>1.4442693521368186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206</v>
      </c>
      <c r="B15" s="11" t="s">
        <v>84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15" s="12">
        <v>0.46</v>
      </c>
      <c r="F15" s="12">
        <v>0.02</v>
      </c>
      <c r="G15" s="12">
        <v>0.39543057996485065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CRY_32[[#This Row],[xPoints Av.]]*CRY_32[[#This Row],[Regularity]]</f>
        <v>1.2315789473684211</v>
      </c>
      <c r="Q15" s="11" t="s">
        <v>17</v>
      </c>
    </row>
    <row r="16" spans="1:17" ht="24" x14ac:dyDescent="0.45">
      <c r="A16" s="11" t="s">
        <v>207</v>
      </c>
      <c r="B16" s="11" t="s">
        <v>84</v>
      </c>
      <c r="C1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6" s="12">
        <v>0.38</v>
      </c>
      <c r="F16" s="12">
        <v>0.13</v>
      </c>
      <c r="G16" s="12">
        <v>0.31802120141342755</v>
      </c>
      <c r="H16" s="11">
        <v>11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CRY_32[[#This Row],[xPoints Av.]]*CRY_32[[#This Row],[Regularity]]</f>
        <v>1.131842105263158</v>
      </c>
      <c r="Q16" s="11" t="s">
        <v>17</v>
      </c>
    </row>
    <row r="17" spans="1:17" ht="24" x14ac:dyDescent="0.45">
      <c r="A17" s="11" t="s">
        <v>203</v>
      </c>
      <c r="B17" s="11" t="s">
        <v>75</v>
      </c>
      <c r="C1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7" s="12">
        <v>0.02</v>
      </c>
      <c r="F17" s="12">
        <v>0.08</v>
      </c>
      <c r="G17" s="12">
        <v>0.31380753138075312</v>
      </c>
      <c r="H17" s="11">
        <v>15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CRY_32[[#This Row],[xPoints Av.]]*CRY_32[[#This Row],[Regularity]]</f>
        <v>1.0475556044924026</v>
      </c>
      <c r="Q17" s="11" t="s">
        <v>17</v>
      </c>
    </row>
  </sheetData>
  <dataValidations count="1">
    <dataValidation type="list" allowBlank="1" showInputMessage="1" showErrorMessage="1" sqref="B2:B17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8"/>
  <sheetViews>
    <sheetView workbookViewId="0">
      <selection activeCell="O3" sqref="O3:O17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223</v>
      </c>
      <c r="B2" s="11" t="s">
        <v>84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3.92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0.96428571428571441</v>
      </c>
      <c r="E2" s="12">
        <v>0.36</v>
      </c>
      <c r="F2" s="12">
        <v>0.16</v>
      </c>
      <c r="G2" s="12">
        <v>0.24980174464710547</v>
      </c>
      <c r="H2" s="11">
        <v>27</v>
      </c>
      <c r="I2" s="11">
        <v>28</v>
      </c>
      <c r="J2" s="11"/>
      <c r="K2" s="11"/>
      <c r="L2" s="11"/>
      <c r="M2" s="11"/>
      <c r="N2" s="11">
        <v>1</v>
      </c>
      <c r="O2" s="11">
        <v>6</v>
      </c>
      <c r="P2" s="12">
        <f>EVE_33[[#This Row],[xPoints Av.]]*EVE_33[[#This Row],[Regularity]]</f>
        <v>3.7800000000000002</v>
      </c>
      <c r="Q2" s="11" t="s">
        <v>21</v>
      </c>
    </row>
    <row r="3" spans="1:17" ht="24" x14ac:dyDescent="0.45">
      <c r="A3" s="11" t="s">
        <v>211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3" s="12">
        <v>0.04</v>
      </c>
      <c r="F3" s="12">
        <v>0.03</v>
      </c>
      <c r="G3" s="12">
        <v>0.23719879518072287</v>
      </c>
      <c r="H3" s="11">
        <v>29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EVE_33[[#This Row],[xPoints Av.]]*EVE_33[[#This Row],[Regularity]]</f>
        <v>2.7966194188518783</v>
      </c>
      <c r="Q3" s="11" t="s">
        <v>21</v>
      </c>
    </row>
    <row r="4" spans="1:17" ht="24" x14ac:dyDescent="0.45">
      <c r="A4" s="13" t="s">
        <v>224</v>
      </c>
      <c r="B4" s="11" t="s">
        <v>84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4" s="12">
        <v>0.43</v>
      </c>
      <c r="F4" s="12">
        <v>0.12</v>
      </c>
      <c r="G4" s="12">
        <v>0.21077283372365341</v>
      </c>
      <c r="H4" s="11">
        <v>15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EVE_33[[#This Row],[xPoints Av.]]*EVE_33[[#This Row],[Regularity]]</f>
        <v>2.7818181818181817</v>
      </c>
      <c r="Q4" s="11" t="s">
        <v>21</v>
      </c>
    </row>
    <row r="5" spans="1:17" ht="24" x14ac:dyDescent="0.45">
      <c r="A5" s="11" t="s">
        <v>210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5" s="12">
        <v>0.04</v>
      </c>
      <c r="F5" s="12">
        <v>0.04</v>
      </c>
      <c r="G5" s="12">
        <v>0.25797205302758869</v>
      </c>
      <c r="H5" s="11">
        <v>31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EVE_33[[#This Row],[xPoints Av.]]*EVE_33[[#This Row],[Regularity]]</f>
        <v>2.7670666993531841</v>
      </c>
      <c r="Q5" s="11" t="s">
        <v>21</v>
      </c>
    </row>
    <row r="6" spans="1:17" ht="24" x14ac:dyDescent="0.45">
      <c r="A6" s="11" t="s">
        <v>209</v>
      </c>
      <c r="B6" s="11" t="s">
        <v>62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6" s="12">
        <v>0</v>
      </c>
      <c r="F6" s="12">
        <v>0</v>
      </c>
      <c r="G6" s="12">
        <v>0.2</v>
      </c>
      <c r="H6" s="11">
        <v>35</v>
      </c>
      <c r="I6" s="11">
        <v>36</v>
      </c>
      <c r="J6" s="11"/>
      <c r="K6" s="11"/>
      <c r="L6" s="11"/>
      <c r="M6" s="11"/>
      <c r="N6" s="11">
        <v>1</v>
      </c>
      <c r="O6" s="11">
        <v>5</v>
      </c>
      <c r="P6" s="12">
        <f>EVE_33[[#This Row],[xPoints Av.]]*EVE_33[[#This Row],[Regularity]]</f>
        <v>2.7222222222222219</v>
      </c>
      <c r="Q6" s="11" t="s">
        <v>21</v>
      </c>
    </row>
    <row r="7" spans="1:17" ht="24" x14ac:dyDescent="0.45">
      <c r="A7" s="11" t="s">
        <v>218</v>
      </c>
      <c r="B7" s="11" t="s">
        <v>75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7" s="12">
        <v>0.09</v>
      </c>
      <c r="F7" s="12">
        <v>0.09</v>
      </c>
      <c r="G7" s="12">
        <v>0.1774447949526814</v>
      </c>
      <c r="H7" s="11">
        <v>28</v>
      </c>
      <c r="I7" s="11">
        <v>32</v>
      </c>
      <c r="J7" s="11"/>
      <c r="K7" s="11"/>
      <c r="L7" s="11"/>
      <c r="M7" s="11"/>
      <c r="N7" s="11">
        <v>1</v>
      </c>
      <c r="O7" s="11">
        <v>5</v>
      </c>
      <c r="P7" s="12">
        <f>EVE_33[[#This Row],[xPoints Av.]]*EVE_33[[#This Row],[Regularity]]</f>
        <v>2.5352641955835962</v>
      </c>
      <c r="Q7" s="11" t="s">
        <v>21</v>
      </c>
    </row>
    <row r="8" spans="1:17" ht="24" x14ac:dyDescent="0.45">
      <c r="A8" s="11" t="s">
        <v>216</v>
      </c>
      <c r="B8" s="11" t="s">
        <v>75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8" s="12">
        <v>0.16</v>
      </c>
      <c r="F8" s="12">
        <v>0.17</v>
      </c>
      <c r="G8" s="12">
        <v>0.23116438356164384</v>
      </c>
      <c r="H8" s="11">
        <v>26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EVE_33[[#This Row],[xPoints Av.]]*EVE_33[[#This Row],[Regularity]]</f>
        <v>2.4229019466474409</v>
      </c>
      <c r="Q8" s="11" t="s">
        <v>21</v>
      </c>
    </row>
    <row r="9" spans="1:17" ht="24" x14ac:dyDescent="0.45">
      <c r="A9" s="11" t="s">
        <v>217</v>
      </c>
      <c r="B9" s="11" t="s">
        <v>75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9" s="12">
        <v>0.14000000000000001</v>
      </c>
      <c r="F9" s="12">
        <v>0.15</v>
      </c>
      <c r="G9" s="12">
        <v>0.27667984189723321</v>
      </c>
      <c r="H9" s="11">
        <v>23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EVE_33[[#This Row],[xPoints Av.]]*EVE_33[[#This Row],[Regularity]]</f>
        <v>2.0740430622009569</v>
      </c>
      <c r="Q9" s="11" t="s">
        <v>21</v>
      </c>
    </row>
    <row r="10" spans="1:17" ht="24" x14ac:dyDescent="0.45">
      <c r="A10" s="11" t="s">
        <v>220</v>
      </c>
      <c r="B10" s="11" t="s">
        <v>75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0" s="12">
        <v>0.14000000000000001</v>
      </c>
      <c r="F10" s="12">
        <v>0.15</v>
      </c>
      <c r="G10" s="12">
        <v>0.18595041322314051</v>
      </c>
      <c r="H10" s="11">
        <v>16</v>
      </c>
      <c r="I10" s="11">
        <v>26</v>
      </c>
      <c r="J10" s="11"/>
      <c r="K10" s="11"/>
      <c r="L10" s="11"/>
      <c r="M10" s="11"/>
      <c r="N10" s="11">
        <v>1</v>
      </c>
      <c r="O10" s="11">
        <v>4</v>
      </c>
      <c r="P10" s="12">
        <f>EVE_33[[#This Row],[xPoints Av.]]*EVE_33[[#This Row],[Regularity]]</f>
        <v>2.0528925619834713</v>
      </c>
      <c r="Q10" s="11" t="s">
        <v>21</v>
      </c>
    </row>
    <row r="11" spans="1:17" ht="24" x14ac:dyDescent="0.45">
      <c r="A11" s="11" t="s">
        <v>212</v>
      </c>
      <c r="B11" s="11" t="s">
        <v>64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1" s="12">
        <v>7.0000000000000007E-2</v>
      </c>
      <c r="F11" s="12">
        <v>0</v>
      </c>
      <c r="G11" s="12">
        <v>0.2109704641350211</v>
      </c>
      <c r="H11" s="11">
        <v>23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EVE_33[[#This Row],[xPoints Av.]]*EVE_33[[#This Row],[Regularity]]</f>
        <v>1.975507439484788</v>
      </c>
      <c r="Q11" s="11" t="s">
        <v>21</v>
      </c>
    </row>
    <row r="12" spans="1:17" ht="24" x14ac:dyDescent="0.45">
      <c r="A12" s="11" t="s">
        <v>219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2" s="12">
        <v>0.11</v>
      </c>
      <c r="F12" s="12">
        <v>0.14000000000000001</v>
      </c>
      <c r="G12" s="12">
        <v>0.26614095613602762</v>
      </c>
      <c r="H12" s="11">
        <v>23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EVE_33[[#This Row],[xPoints Av.]]*EVE_33[[#This Row],[Regularity]]</f>
        <v>1.958716894503385</v>
      </c>
      <c r="Q12" s="11" t="s">
        <v>21</v>
      </c>
    </row>
    <row r="13" spans="1:17" ht="24" x14ac:dyDescent="0.45">
      <c r="A13" s="11" t="s">
        <v>214</v>
      </c>
      <c r="B13" s="11" t="s">
        <v>64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13" s="12">
        <v>0.05</v>
      </c>
      <c r="F13" s="12">
        <v>0.04</v>
      </c>
      <c r="G13" s="12">
        <v>0.17742730409068508</v>
      </c>
      <c r="H13" s="11">
        <v>11</v>
      </c>
      <c r="I13" s="11">
        <v>18</v>
      </c>
      <c r="J13" s="11"/>
      <c r="K13" s="11"/>
      <c r="L13" s="11"/>
      <c r="M13" s="11"/>
      <c r="N13" s="11">
        <v>1</v>
      </c>
      <c r="O13" s="11">
        <v>4</v>
      </c>
      <c r="P13" s="12">
        <f>EVE_33[[#This Row],[xPoints Av.]]*EVE_33[[#This Row],[Regularity]]</f>
        <v>1.9126000766661191</v>
      </c>
      <c r="Q13" s="11" t="s">
        <v>21</v>
      </c>
    </row>
    <row r="14" spans="1:17" ht="24" x14ac:dyDescent="0.45">
      <c r="A14" s="11" t="s">
        <v>215</v>
      </c>
      <c r="B14" s="11" t="s">
        <v>64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0.03</v>
      </c>
      <c r="F14" s="12">
        <v>0</v>
      </c>
      <c r="G14" s="12">
        <v>0.21327014218009477</v>
      </c>
      <c r="H14" s="11">
        <v>8</v>
      </c>
      <c r="I14" s="11">
        <v>13</v>
      </c>
      <c r="J14" s="11"/>
      <c r="K14" s="11"/>
      <c r="L14" s="11"/>
      <c r="M14" s="11"/>
      <c r="N14" s="11">
        <v>1</v>
      </c>
      <c r="O14" s="11">
        <v>4</v>
      </c>
      <c r="P14" s="12">
        <f>EVE_33[[#This Row],[xPoints Av.]]*EVE_33[[#This Row],[Regularity]]</f>
        <v>1.8665111192125412</v>
      </c>
      <c r="Q14" s="11" t="s">
        <v>21</v>
      </c>
    </row>
    <row r="15" spans="1:17" ht="24" x14ac:dyDescent="0.45">
      <c r="A15" s="11" t="s">
        <v>213</v>
      </c>
      <c r="B15" s="11" t="s">
        <v>64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15" s="12">
        <v>0.06</v>
      </c>
      <c r="F15" s="12">
        <v>0.03</v>
      </c>
      <c r="G15" s="12">
        <v>0.17742730409068508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EVE_33[[#This Row],[xPoints Av.]]*EVE_33[[#This Row],[Regularity]]</f>
        <v>1.829305335788955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225</v>
      </c>
      <c r="B17" s="11" t="s">
        <v>84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17" s="12">
        <v>0.31</v>
      </c>
      <c r="F17" s="12">
        <v>7.0000000000000007E-2</v>
      </c>
      <c r="G17" s="12">
        <v>0.21077283372365341</v>
      </c>
      <c r="H17" s="18">
        <v>8</v>
      </c>
      <c r="I17" s="18">
        <v>34</v>
      </c>
      <c r="J17" s="11"/>
      <c r="K17" s="11"/>
      <c r="L17" s="11"/>
      <c r="M17" s="11"/>
      <c r="N17" s="11">
        <v>1</v>
      </c>
      <c r="O17" s="11">
        <v>4</v>
      </c>
      <c r="P17" s="12">
        <f>EVE_33[[#This Row],[xPoints Av.]]*EVE_33[[#This Row],[Regularity]]</f>
        <v>0.81176470588235294</v>
      </c>
      <c r="Q17" s="11" t="s">
        <v>21</v>
      </c>
    </row>
    <row r="18" spans="1:17" ht="24" x14ac:dyDescent="0.45">
      <c r="A18" s="11" t="s">
        <v>222</v>
      </c>
      <c r="B18" s="11" t="s">
        <v>75</v>
      </c>
      <c r="C1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8" s="12">
        <v>0.04</v>
      </c>
      <c r="F18" s="12">
        <v>0.18</v>
      </c>
      <c r="G18" s="12">
        <v>0.27411167512690354</v>
      </c>
      <c r="H18" s="11">
        <v>2</v>
      </c>
      <c r="I18" s="11">
        <v>15</v>
      </c>
      <c r="J18" s="11"/>
      <c r="K18" s="11"/>
      <c r="L18" s="11"/>
      <c r="M18" s="11"/>
      <c r="N18" s="11">
        <v>1</v>
      </c>
      <c r="O18" s="11">
        <v>4</v>
      </c>
      <c r="P18" s="12">
        <f>EVE_33[[#This Row],[xPoints Av.]]*EVE_33[[#This Row],[Regularity]]</f>
        <v>0.4018815566835871</v>
      </c>
      <c r="Q18" s="11" t="s">
        <v>21</v>
      </c>
    </row>
  </sheetData>
  <dataValidations count="1">
    <dataValidation type="list" allowBlank="1" showInputMessage="1" showErrorMessage="1" sqref="B2:B18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2022-06-09T08:15:08Z</dcterms:modified>
</cp:coreProperties>
</file>