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FPL\"/>
    </mc:Choice>
  </mc:AlternateContent>
  <xr:revisionPtr revIDLastSave="0" documentId="13_ncr:1_{D14BB93D-787C-40FB-B0C3-44D8CAF54F7F}" xr6:coauthVersionLast="47" xr6:coauthVersionMax="47" xr10:uidLastSave="{00000000-0000-0000-0000-000000000000}"/>
  <bookViews>
    <workbookView xWindow="28680" yWindow="-120" windowWidth="29040" windowHeight="16440" tabRatio="832" activeTab="20" xr2:uid="{B8D1FB25-E638-4808-909F-DD541F5F5508}"/>
  </bookViews>
  <sheets>
    <sheet name="NewTransfers" sheetId="7" r:id="rId1"/>
    <sheet name="ARS" sheetId="8" r:id="rId2"/>
    <sheet name="AVL" sheetId="9" r:id="rId3"/>
    <sheet name="BRE" sheetId="10" r:id="rId4"/>
    <sheet name="BHA" sheetId="11" r:id="rId5"/>
    <sheet name="BOU" sheetId="12" r:id="rId6"/>
    <sheet name="CHE" sheetId="13" r:id="rId7"/>
    <sheet name="CRY" sheetId="14" r:id="rId8"/>
    <sheet name="EVE" sheetId="15" r:id="rId9"/>
    <sheet name="FUL" sheetId="16" r:id="rId10"/>
    <sheet name="FOR" sheetId="18" r:id="rId11"/>
    <sheet name="LEE" sheetId="17" r:id="rId12"/>
    <sheet name="LEI" sheetId="19" r:id="rId13"/>
    <sheet name="LIV" sheetId="20" r:id="rId14"/>
    <sheet name="MCI" sheetId="21" r:id="rId15"/>
    <sheet name="MUN" sheetId="22" r:id="rId16"/>
    <sheet name="NEW" sheetId="23" r:id="rId17"/>
    <sheet name="SOU" sheetId="24" r:id="rId18"/>
    <sheet name="TOT" sheetId="25" r:id="rId19"/>
    <sheet name="WHU" sheetId="26" r:id="rId20"/>
    <sheet name="WOL" sheetId="27" r:id="rId21"/>
    <sheet name="PlayersByTeam" sheetId="4" state="hidden" r:id="rId22"/>
    <sheet name="PromotedPlayersByTeam" sheetId="6" state="hidden" r:id="rId23"/>
    <sheet name="Teams" sheetId="1" r:id="rId24"/>
    <sheet name="Games" sheetId="2" r:id="rId25"/>
    <sheet name="Fixtures" sheetId="28" r:id="rId26"/>
    <sheet name="CalcCS60" sheetId="5" state="hidden" r:id="rId27"/>
    <sheet name="LeagueChanges" sheetId="3" state="hidden" r:id="rId2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C18" i="21"/>
  <c r="D18" i="21"/>
  <c r="D5" i="18"/>
  <c r="C5" i="18" s="1"/>
  <c r="E5" i="18"/>
  <c r="D6" i="18"/>
  <c r="C6" i="18" s="1"/>
  <c r="E6" i="18"/>
  <c r="D18" i="16"/>
  <c r="C18" i="16" s="1"/>
  <c r="E18" i="16"/>
  <c r="C19" i="16"/>
  <c r="D19" i="16"/>
  <c r="E19" i="16"/>
  <c r="D20" i="16"/>
  <c r="C20" i="16" s="1"/>
  <c r="L20" i="16" s="1"/>
  <c r="E20" i="16"/>
  <c r="C19" i="13"/>
  <c r="D19" i="13"/>
  <c r="L20" i="12"/>
  <c r="E20" i="12"/>
  <c r="D20" i="12"/>
  <c r="C20" i="12" s="1"/>
  <c r="C18" i="22"/>
  <c r="D18" i="22"/>
  <c r="G18" i="22"/>
  <c r="C20" i="8"/>
  <c r="D20" i="8"/>
  <c r="C22" i="7"/>
  <c r="D22" i="7"/>
  <c r="E22" i="7"/>
  <c r="D21" i="7"/>
  <c r="C21" i="7" s="1"/>
  <c r="E21" i="7"/>
  <c r="D9" i="16"/>
  <c r="C9" i="16" s="1"/>
  <c r="E9" i="16"/>
  <c r="D7" i="16"/>
  <c r="C7" i="16" s="1"/>
  <c r="E7" i="16"/>
  <c r="D19" i="7"/>
  <c r="C19" i="7" s="1"/>
  <c r="E19" i="7"/>
  <c r="D9" i="12"/>
  <c r="C9" i="12" s="1"/>
  <c r="E9" i="12"/>
  <c r="D19" i="12"/>
  <c r="C19" i="12" s="1"/>
  <c r="E19" i="12"/>
  <c r="C16" i="22"/>
  <c r="D16" i="22"/>
  <c r="D12" i="25"/>
  <c r="C12" i="25"/>
  <c r="P12" i="25" s="1"/>
  <c r="D18" i="7"/>
  <c r="C18" i="7" s="1"/>
  <c r="E18" i="7"/>
  <c r="D17" i="7"/>
  <c r="C17" i="7" s="1"/>
  <c r="E17" i="7"/>
  <c r="D16" i="7"/>
  <c r="C16" i="7" s="1"/>
  <c r="E16" i="7"/>
  <c r="D15" i="7"/>
  <c r="C15" i="7" s="1"/>
  <c r="E15" i="7"/>
  <c r="D20" i="7"/>
  <c r="C20" i="7" s="1"/>
  <c r="E20" i="7"/>
  <c r="D14" i="7"/>
  <c r="C14" i="7" s="1"/>
  <c r="E14" i="7"/>
  <c r="D7" i="12"/>
  <c r="C7" i="12" s="1"/>
  <c r="E7" i="12"/>
  <c r="D13" i="7"/>
  <c r="C13" i="7" s="1"/>
  <c r="E13" i="7"/>
  <c r="D12" i="7"/>
  <c r="C12" i="7" s="1"/>
  <c r="E12" i="7"/>
  <c r="D23" i="25"/>
  <c r="C23" i="25"/>
  <c r="P23" i="25" s="1"/>
  <c r="G23" i="25"/>
  <c r="D10" i="7"/>
  <c r="C10" i="7" s="1"/>
  <c r="E10" i="7"/>
  <c r="D9" i="7"/>
  <c r="C9" i="7" s="1"/>
  <c r="E9" i="7"/>
  <c r="D8" i="7"/>
  <c r="C8" i="7" s="1"/>
  <c r="E8" i="7"/>
  <c r="C14" i="25"/>
  <c r="D14" i="25"/>
  <c r="C11" i="25"/>
  <c r="C15" i="25"/>
  <c r="C2" i="25"/>
  <c r="C3" i="25"/>
  <c r="C16" i="25"/>
  <c r="C13" i="25"/>
  <c r="C4" i="25"/>
  <c r="C5" i="25"/>
  <c r="C6" i="25"/>
  <c r="C7" i="25"/>
  <c r="C17" i="25"/>
  <c r="C18" i="25"/>
  <c r="C8" i="25"/>
  <c r="C19" i="25"/>
  <c r="C20" i="25"/>
  <c r="C9" i="25"/>
  <c r="C10" i="25"/>
  <c r="C21" i="25"/>
  <c r="C22" i="25"/>
  <c r="D11" i="25"/>
  <c r="D15" i="25"/>
  <c r="D2" i="25"/>
  <c r="D3" i="25"/>
  <c r="D16" i="25"/>
  <c r="D13" i="25"/>
  <c r="D4" i="25"/>
  <c r="D5" i="25"/>
  <c r="D6" i="25"/>
  <c r="D7" i="25"/>
  <c r="D17" i="25"/>
  <c r="D18" i="25"/>
  <c r="P18" i="25" s="1"/>
  <c r="D8" i="25"/>
  <c r="D19" i="25"/>
  <c r="D20" i="25"/>
  <c r="D9" i="25"/>
  <c r="D10" i="25"/>
  <c r="D21" i="25"/>
  <c r="D22" i="25"/>
  <c r="P3" i="2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16" i="27"/>
  <c r="C16" i="27"/>
  <c r="D15" i="27"/>
  <c r="C15" i="27"/>
  <c r="D9" i="27"/>
  <c r="C9" i="27"/>
  <c r="D6" i="27"/>
  <c r="C6" i="27"/>
  <c r="D14" i="27"/>
  <c r="C14" i="27"/>
  <c r="D8" i="27"/>
  <c r="C8" i="27"/>
  <c r="D13" i="27"/>
  <c r="C13" i="27"/>
  <c r="D12" i="27"/>
  <c r="C12" i="27"/>
  <c r="D5" i="27"/>
  <c r="C5" i="27"/>
  <c r="D11" i="27"/>
  <c r="C11" i="27"/>
  <c r="D7" i="27"/>
  <c r="C7" i="27"/>
  <c r="D4" i="27"/>
  <c r="C4" i="27"/>
  <c r="D10" i="27"/>
  <c r="C10" i="27"/>
  <c r="D3" i="27"/>
  <c r="C3" i="27"/>
  <c r="D2" i="27"/>
  <c r="C2" i="27"/>
  <c r="D16" i="26"/>
  <c r="C16" i="26"/>
  <c r="P16" i="26" s="1"/>
  <c r="D7" i="26"/>
  <c r="C7" i="26"/>
  <c r="D15" i="26"/>
  <c r="C15" i="26"/>
  <c r="D6" i="26"/>
  <c r="C6" i="26"/>
  <c r="D14" i="26"/>
  <c r="C14" i="26"/>
  <c r="D5" i="26"/>
  <c r="C5" i="26"/>
  <c r="D4" i="26"/>
  <c r="C4" i="26"/>
  <c r="D13" i="26"/>
  <c r="C13" i="26"/>
  <c r="D9" i="26"/>
  <c r="C9" i="26"/>
  <c r="D12" i="26"/>
  <c r="C12" i="26"/>
  <c r="D3" i="26"/>
  <c r="C3" i="26"/>
  <c r="D11" i="26"/>
  <c r="C11" i="26"/>
  <c r="D2" i="26"/>
  <c r="C2" i="26"/>
  <c r="D8" i="26"/>
  <c r="C8" i="26"/>
  <c r="D10" i="26"/>
  <c r="C10" i="26"/>
  <c r="P10" i="26" s="1"/>
  <c r="D16" i="24"/>
  <c r="C16" i="24"/>
  <c r="D7" i="24"/>
  <c r="C7" i="24"/>
  <c r="D6" i="24"/>
  <c r="C6" i="24"/>
  <c r="D9" i="24"/>
  <c r="C9" i="24"/>
  <c r="D10" i="24"/>
  <c r="C10" i="24"/>
  <c r="D15" i="24"/>
  <c r="C15" i="24"/>
  <c r="D14" i="24"/>
  <c r="C14" i="24"/>
  <c r="D8" i="24"/>
  <c r="C8" i="24"/>
  <c r="D13" i="24"/>
  <c r="C13" i="24"/>
  <c r="D12" i="24"/>
  <c r="C12" i="24"/>
  <c r="D5" i="24"/>
  <c r="C5" i="24"/>
  <c r="D4" i="24"/>
  <c r="C4" i="24"/>
  <c r="D3" i="24"/>
  <c r="C3" i="24"/>
  <c r="D2" i="24"/>
  <c r="C2" i="24"/>
  <c r="D11" i="24"/>
  <c r="C11" i="24"/>
  <c r="D20" i="23"/>
  <c r="C20" i="23"/>
  <c r="P20" i="23" s="1"/>
  <c r="D8" i="23"/>
  <c r="C8" i="23"/>
  <c r="D19" i="23"/>
  <c r="C19" i="23"/>
  <c r="D18" i="23"/>
  <c r="C18" i="23"/>
  <c r="D17" i="23"/>
  <c r="C17" i="23"/>
  <c r="P17" i="23" s="1"/>
  <c r="D7" i="23"/>
  <c r="C7" i="23"/>
  <c r="P7" i="23" s="1"/>
  <c r="D6" i="23"/>
  <c r="C6" i="23"/>
  <c r="D5" i="23"/>
  <c r="C5" i="23"/>
  <c r="P5" i="23" s="1"/>
  <c r="D16" i="23"/>
  <c r="C16" i="23"/>
  <c r="D12" i="23"/>
  <c r="C12" i="23"/>
  <c r="P12" i="23" s="1"/>
  <c r="D15" i="23"/>
  <c r="C15" i="23"/>
  <c r="D11" i="23"/>
  <c r="C11" i="23"/>
  <c r="P11" i="23" s="1"/>
  <c r="D13" i="23"/>
  <c r="C13" i="23"/>
  <c r="D10" i="23"/>
  <c r="C10" i="23"/>
  <c r="P10" i="23" s="1"/>
  <c r="D4" i="23"/>
  <c r="C4" i="23"/>
  <c r="P4" i="23" s="1"/>
  <c r="G3" i="23"/>
  <c r="D3" i="23"/>
  <c r="C3" i="23"/>
  <c r="D2" i="23"/>
  <c r="C2" i="23"/>
  <c r="G14" i="23"/>
  <c r="D14" i="23"/>
  <c r="C14" i="23"/>
  <c r="P14" i="23" s="1"/>
  <c r="D9" i="23"/>
  <c r="C9" i="23"/>
  <c r="P9" i="23" s="1"/>
  <c r="D17" i="22"/>
  <c r="C17" i="22"/>
  <c r="D8" i="22"/>
  <c r="C8" i="22"/>
  <c r="P8" i="22" s="1"/>
  <c r="D7" i="22"/>
  <c r="C7" i="22"/>
  <c r="D15" i="22"/>
  <c r="C15" i="22"/>
  <c r="D14" i="22"/>
  <c r="C14" i="22"/>
  <c r="P14" i="22" s="1"/>
  <c r="D6" i="22"/>
  <c r="C6" i="22"/>
  <c r="D13" i="22"/>
  <c r="C13" i="22"/>
  <c r="D12" i="22"/>
  <c r="C12" i="22"/>
  <c r="D5" i="22"/>
  <c r="C5" i="22"/>
  <c r="D10" i="22"/>
  <c r="C10" i="22"/>
  <c r="D4" i="22"/>
  <c r="C4" i="22"/>
  <c r="P4" i="22" s="1"/>
  <c r="D3" i="22"/>
  <c r="C3" i="22"/>
  <c r="D2" i="22"/>
  <c r="C2" i="22"/>
  <c r="P2" i="22" s="1"/>
  <c r="D11" i="22"/>
  <c r="C11" i="22"/>
  <c r="D9" i="22"/>
  <c r="C9" i="22"/>
  <c r="P9" i="22" s="1"/>
  <c r="D8" i="21"/>
  <c r="C8" i="21"/>
  <c r="D7" i="21"/>
  <c r="C7" i="21"/>
  <c r="D6" i="21"/>
  <c r="C6" i="21"/>
  <c r="D17" i="21"/>
  <c r="C17" i="21"/>
  <c r="D16" i="21"/>
  <c r="C16" i="21"/>
  <c r="D5" i="21"/>
  <c r="C5" i="21"/>
  <c r="D15" i="21"/>
  <c r="C15" i="21"/>
  <c r="D14" i="21"/>
  <c r="C14" i="21"/>
  <c r="D13" i="21"/>
  <c r="C13" i="21"/>
  <c r="D12" i="21"/>
  <c r="C12" i="21"/>
  <c r="D11" i="21"/>
  <c r="C11" i="21"/>
  <c r="D10" i="21"/>
  <c r="C10" i="21"/>
  <c r="D9" i="21"/>
  <c r="C9" i="21"/>
  <c r="D4" i="21"/>
  <c r="C4" i="21"/>
  <c r="D3" i="21"/>
  <c r="C3" i="21"/>
  <c r="D2" i="21"/>
  <c r="C2" i="21"/>
  <c r="P2" i="21" s="1"/>
  <c r="D20" i="20"/>
  <c r="C20" i="20"/>
  <c r="D19" i="20"/>
  <c r="C19" i="20"/>
  <c r="D7" i="20"/>
  <c r="C7" i="20"/>
  <c r="D6" i="20"/>
  <c r="C6" i="20"/>
  <c r="D18" i="20"/>
  <c r="C18" i="20"/>
  <c r="D17" i="20"/>
  <c r="C17" i="20"/>
  <c r="D16" i="20"/>
  <c r="C16" i="20"/>
  <c r="D15" i="20"/>
  <c r="C15" i="20"/>
  <c r="D14" i="20"/>
  <c r="C14" i="20"/>
  <c r="D9" i="20"/>
  <c r="C9" i="20"/>
  <c r="G13" i="20"/>
  <c r="C13" i="20" s="1"/>
  <c r="D13" i="20"/>
  <c r="D12" i="20"/>
  <c r="C12" i="20"/>
  <c r="D10" i="20"/>
  <c r="C10" i="20"/>
  <c r="D5" i="20"/>
  <c r="C5" i="20"/>
  <c r="D8" i="20"/>
  <c r="C8" i="20"/>
  <c r="D4" i="20"/>
  <c r="C4" i="20"/>
  <c r="D3" i="20"/>
  <c r="C3" i="20"/>
  <c r="D2" i="20"/>
  <c r="C2" i="20"/>
  <c r="D11" i="20"/>
  <c r="C11" i="20"/>
  <c r="D18" i="19"/>
  <c r="C18" i="19"/>
  <c r="D17" i="19"/>
  <c r="C17" i="19"/>
  <c r="D7" i="19"/>
  <c r="C7" i="19"/>
  <c r="D10" i="19"/>
  <c r="C10" i="19"/>
  <c r="D9" i="19"/>
  <c r="C9" i="19"/>
  <c r="D6" i="19"/>
  <c r="C6" i="19"/>
  <c r="D5" i="19"/>
  <c r="C5" i="19"/>
  <c r="D16" i="19"/>
  <c r="C16" i="19"/>
  <c r="D4" i="19"/>
  <c r="C4" i="19"/>
  <c r="D15" i="19"/>
  <c r="C15" i="19"/>
  <c r="D3" i="19"/>
  <c r="C3" i="19"/>
  <c r="D14" i="19"/>
  <c r="C14" i="19"/>
  <c r="D11" i="19"/>
  <c r="C11" i="19"/>
  <c r="D13" i="19"/>
  <c r="C13" i="19"/>
  <c r="D2" i="19"/>
  <c r="C2" i="19"/>
  <c r="D12" i="19"/>
  <c r="C12" i="19"/>
  <c r="D8" i="19"/>
  <c r="C8" i="19"/>
  <c r="E12" i="18"/>
  <c r="D12" i="18"/>
  <c r="E10" i="18"/>
  <c r="D10" i="18"/>
  <c r="C10" i="18" s="1"/>
  <c r="E18" i="18"/>
  <c r="D18" i="18"/>
  <c r="C18" i="18" s="1"/>
  <c r="E9" i="18"/>
  <c r="D9" i="18"/>
  <c r="C9" i="18" s="1"/>
  <c r="E17" i="18"/>
  <c r="D17" i="18"/>
  <c r="E7" i="18"/>
  <c r="D7" i="18"/>
  <c r="C7" i="18" s="1"/>
  <c r="E16" i="18"/>
  <c r="D16" i="18"/>
  <c r="C16" i="18" s="1"/>
  <c r="E15" i="18"/>
  <c r="D15" i="18"/>
  <c r="C15" i="18" s="1"/>
  <c r="E14" i="18"/>
  <c r="D14" i="18"/>
  <c r="C14" i="18" s="1"/>
  <c r="E4" i="18"/>
  <c r="D4" i="18"/>
  <c r="E3" i="18"/>
  <c r="D3" i="18"/>
  <c r="C3" i="18" s="1"/>
  <c r="E11" i="18"/>
  <c r="D11" i="18"/>
  <c r="C11" i="18" s="1"/>
  <c r="E13" i="18"/>
  <c r="D13" i="18"/>
  <c r="C13" i="18" s="1"/>
  <c r="E8" i="18"/>
  <c r="D8" i="18"/>
  <c r="C8" i="18" s="1"/>
  <c r="E2" i="18"/>
  <c r="D2" i="18"/>
  <c r="C2" i="18" s="1"/>
  <c r="D10" i="17"/>
  <c r="C10" i="17"/>
  <c r="D17" i="17"/>
  <c r="C17" i="17"/>
  <c r="D16" i="17"/>
  <c r="C16" i="17"/>
  <c r="D7" i="17"/>
  <c r="C7" i="17"/>
  <c r="D6" i="17"/>
  <c r="C6" i="17"/>
  <c r="D5" i="17"/>
  <c r="C5" i="17"/>
  <c r="D9" i="17"/>
  <c r="C9" i="17"/>
  <c r="D4" i="17"/>
  <c r="C4" i="17"/>
  <c r="D15" i="17"/>
  <c r="C15" i="17"/>
  <c r="D14" i="17"/>
  <c r="C14" i="17"/>
  <c r="D11" i="17"/>
  <c r="C11" i="17"/>
  <c r="D13" i="17"/>
  <c r="C13" i="17"/>
  <c r="D3" i="17"/>
  <c r="C3" i="17"/>
  <c r="D2" i="17"/>
  <c r="C2" i="17"/>
  <c r="D12" i="17"/>
  <c r="C12" i="17"/>
  <c r="D8" i="17"/>
  <c r="C8" i="17"/>
  <c r="E13" i="16"/>
  <c r="D13" i="16"/>
  <c r="C13" i="16" s="1"/>
  <c r="E16" i="16"/>
  <c r="D16" i="16"/>
  <c r="C16" i="16" s="1"/>
  <c r="E14" i="16"/>
  <c r="D14" i="16"/>
  <c r="C14" i="16" s="1"/>
  <c r="E2" i="16"/>
  <c r="D2" i="16"/>
  <c r="C2" i="16" s="1"/>
  <c r="E10" i="16"/>
  <c r="D10" i="16"/>
  <c r="C10" i="16" s="1"/>
  <c r="E6" i="16"/>
  <c r="D6" i="16"/>
  <c r="C6" i="16" s="1"/>
  <c r="E5" i="16"/>
  <c r="D5" i="16"/>
  <c r="C5" i="16" s="1"/>
  <c r="E12" i="16"/>
  <c r="D12" i="16"/>
  <c r="E17" i="16"/>
  <c r="D17" i="16"/>
  <c r="E15" i="16"/>
  <c r="D15" i="16"/>
  <c r="E11" i="16"/>
  <c r="D11" i="16"/>
  <c r="C11" i="16" s="1"/>
  <c r="E4" i="16"/>
  <c r="D4" i="16"/>
  <c r="C4" i="16" s="1"/>
  <c r="E21" i="16"/>
  <c r="D21" i="16"/>
  <c r="E8" i="16"/>
  <c r="D8" i="16"/>
  <c r="E3" i="16"/>
  <c r="D3" i="16"/>
  <c r="C3" i="16" s="1"/>
  <c r="D17" i="15"/>
  <c r="C17" i="15"/>
  <c r="D9" i="15"/>
  <c r="C9" i="15"/>
  <c r="D16" i="15"/>
  <c r="C16" i="15"/>
  <c r="D7" i="15"/>
  <c r="C7" i="15"/>
  <c r="D6" i="15"/>
  <c r="C6" i="15"/>
  <c r="D5" i="15"/>
  <c r="C5" i="15"/>
  <c r="D15" i="15"/>
  <c r="C15" i="15"/>
  <c r="D4" i="15"/>
  <c r="C4" i="15"/>
  <c r="D14" i="15"/>
  <c r="C14" i="15"/>
  <c r="D13" i="15"/>
  <c r="C13" i="15"/>
  <c r="D12" i="15"/>
  <c r="C12" i="15"/>
  <c r="D11" i="15"/>
  <c r="C11" i="15"/>
  <c r="D10" i="15"/>
  <c r="C10" i="15"/>
  <c r="D3" i="15"/>
  <c r="C3" i="15"/>
  <c r="D8" i="15"/>
  <c r="C8" i="15"/>
  <c r="D2" i="15"/>
  <c r="C2" i="15"/>
  <c r="D15" i="14"/>
  <c r="C15" i="14"/>
  <c r="D10" i="14"/>
  <c r="C10" i="14"/>
  <c r="D9" i="14"/>
  <c r="C9" i="14"/>
  <c r="D14" i="14"/>
  <c r="C14" i="14"/>
  <c r="D6" i="14"/>
  <c r="C6" i="14"/>
  <c r="D8" i="14"/>
  <c r="C8" i="14"/>
  <c r="D13" i="14"/>
  <c r="C13" i="14"/>
  <c r="D7" i="14"/>
  <c r="C7" i="14"/>
  <c r="D5" i="14"/>
  <c r="C5" i="14"/>
  <c r="D11" i="14"/>
  <c r="C11" i="14"/>
  <c r="D4" i="14"/>
  <c r="C4" i="14"/>
  <c r="D3" i="14"/>
  <c r="C3" i="14"/>
  <c r="D2" i="14"/>
  <c r="C2" i="14"/>
  <c r="D12" i="14"/>
  <c r="C12" i="14"/>
  <c r="D18" i="13"/>
  <c r="C18" i="13"/>
  <c r="D17" i="13"/>
  <c r="C17" i="13"/>
  <c r="D8" i="13"/>
  <c r="C8" i="13"/>
  <c r="D16" i="13"/>
  <c r="C16" i="13"/>
  <c r="G7" i="13"/>
  <c r="C7" i="13" s="1"/>
  <c r="D7" i="13"/>
  <c r="D15" i="13"/>
  <c r="C15" i="13"/>
  <c r="G6" i="13"/>
  <c r="C6" i="13" s="1"/>
  <c r="D6" i="13"/>
  <c r="D14" i="13"/>
  <c r="C14" i="13"/>
  <c r="D13" i="13"/>
  <c r="C13" i="13"/>
  <c r="D12" i="13"/>
  <c r="C12" i="13"/>
  <c r="G11" i="13"/>
  <c r="C11" i="13" s="1"/>
  <c r="D11" i="13"/>
  <c r="G5" i="13"/>
  <c r="C5" i="13" s="1"/>
  <c r="D5" i="13"/>
  <c r="G4" i="13"/>
  <c r="C4" i="13" s="1"/>
  <c r="D4" i="13"/>
  <c r="G9" i="13"/>
  <c r="C9" i="13" s="1"/>
  <c r="D9" i="13"/>
  <c r="G10" i="13"/>
  <c r="C10" i="13" s="1"/>
  <c r="D10" i="13"/>
  <c r="G3" i="13"/>
  <c r="C3" i="13" s="1"/>
  <c r="D3" i="13"/>
  <c r="G2" i="13"/>
  <c r="C2" i="13" s="1"/>
  <c r="D2" i="13"/>
  <c r="E18" i="12"/>
  <c r="D18" i="12"/>
  <c r="C18" i="12" s="1"/>
  <c r="E17" i="12"/>
  <c r="D17" i="12"/>
  <c r="C17" i="12" s="1"/>
  <c r="E6" i="12"/>
  <c r="D6" i="12"/>
  <c r="C6" i="12" s="1"/>
  <c r="E16" i="12"/>
  <c r="D16" i="12"/>
  <c r="E5" i="12"/>
  <c r="D5" i="12"/>
  <c r="C5" i="12" s="1"/>
  <c r="E4" i="12"/>
  <c r="D4" i="12"/>
  <c r="C4" i="12" s="1"/>
  <c r="E15" i="12"/>
  <c r="D15" i="12"/>
  <c r="E14" i="12"/>
  <c r="D14" i="12"/>
  <c r="C14" i="12" s="1"/>
  <c r="E3" i="12"/>
  <c r="D3" i="12"/>
  <c r="C3" i="12" s="1"/>
  <c r="E13" i="12"/>
  <c r="D13" i="12"/>
  <c r="C13" i="12" s="1"/>
  <c r="E12" i="12"/>
  <c r="D12" i="12"/>
  <c r="E11" i="12"/>
  <c r="D11" i="12"/>
  <c r="C11" i="12" s="1"/>
  <c r="E2" i="12"/>
  <c r="D2" i="12"/>
  <c r="C2" i="12" s="1"/>
  <c r="E10" i="12"/>
  <c r="D10" i="12"/>
  <c r="C10" i="12" s="1"/>
  <c r="E8" i="12"/>
  <c r="D8" i="12"/>
  <c r="G16" i="11"/>
  <c r="C16" i="11" s="1"/>
  <c r="D16" i="11"/>
  <c r="G7" i="11"/>
  <c r="D7" i="11"/>
  <c r="C7" i="11"/>
  <c r="G15" i="11"/>
  <c r="D15" i="11"/>
  <c r="C15" i="11"/>
  <c r="G6" i="11"/>
  <c r="C6" i="11" s="1"/>
  <c r="D6" i="11"/>
  <c r="G14" i="11"/>
  <c r="D14" i="11"/>
  <c r="C14" i="11"/>
  <c r="G5" i="11"/>
  <c r="D5" i="11"/>
  <c r="C5" i="11"/>
  <c r="G13" i="11"/>
  <c r="C13" i="11" s="1"/>
  <c r="D13" i="11"/>
  <c r="G12" i="11"/>
  <c r="C12" i="11" s="1"/>
  <c r="D12" i="11"/>
  <c r="G9" i="11"/>
  <c r="D9" i="11"/>
  <c r="C9" i="11"/>
  <c r="G8" i="11"/>
  <c r="D8" i="11"/>
  <c r="C8" i="11"/>
  <c r="G4" i="11"/>
  <c r="C4" i="11" s="1"/>
  <c r="D4" i="11"/>
  <c r="G10" i="11"/>
  <c r="C10" i="11" s="1"/>
  <c r="D10" i="11"/>
  <c r="G3" i="11"/>
  <c r="D3" i="11"/>
  <c r="C3" i="11"/>
  <c r="G11" i="11"/>
  <c r="D11" i="11"/>
  <c r="C11" i="11"/>
  <c r="G2" i="11"/>
  <c r="C2" i="11" s="1"/>
  <c r="D2" i="11"/>
  <c r="G16" i="10"/>
  <c r="C16" i="10" s="1"/>
  <c r="D16" i="10"/>
  <c r="G15" i="10"/>
  <c r="C15" i="10" s="1"/>
  <c r="D15" i="10"/>
  <c r="G6" i="10"/>
  <c r="C6" i="10" s="1"/>
  <c r="D6" i="10"/>
  <c r="G14" i="10"/>
  <c r="C14" i="10" s="1"/>
  <c r="D14" i="10"/>
  <c r="G13" i="10"/>
  <c r="C13" i="10" s="1"/>
  <c r="D13" i="10"/>
  <c r="G12" i="10"/>
  <c r="C12" i="10" s="1"/>
  <c r="D12" i="10"/>
  <c r="G11" i="10"/>
  <c r="C11" i="10" s="1"/>
  <c r="D11" i="10"/>
  <c r="G5" i="10"/>
  <c r="C5" i="10" s="1"/>
  <c r="D5" i="10"/>
  <c r="G4" i="10"/>
  <c r="D4" i="10"/>
  <c r="C4" i="10"/>
  <c r="G10" i="10"/>
  <c r="C10" i="10" s="1"/>
  <c r="D10" i="10"/>
  <c r="G3" i="10"/>
  <c r="C3" i="10" s="1"/>
  <c r="D3" i="10"/>
  <c r="G9" i="10"/>
  <c r="D9" i="10"/>
  <c r="C9" i="10"/>
  <c r="G8" i="10"/>
  <c r="C8" i="10" s="1"/>
  <c r="D8" i="10"/>
  <c r="G7" i="10"/>
  <c r="D7" i="10"/>
  <c r="C7" i="10"/>
  <c r="G2" i="10"/>
  <c r="D2" i="10"/>
  <c r="C2" i="10"/>
  <c r="G20" i="9"/>
  <c r="D20" i="9"/>
  <c r="C20" i="9"/>
  <c r="G19" i="9"/>
  <c r="D19" i="9"/>
  <c r="C19" i="9"/>
  <c r="G8" i="9"/>
  <c r="D8" i="9"/>
  <c r="C8" i="9"/>
  <c r="G18" i="9"/>
  <c r="D18" i="9"/>
  <c r="C18" i="9"/>
  <c r="G17" i="9"/>
  <c r="D17" i="9"/>
  <c r="C17" i="9"/>
  <c r="G7" i="9"/>
  <c r="D7" i="9"/>
  <c r="C7" i="9"/>
  <c r="G6" i="9"/>
  <c r="D6" i="9"/>
  <c r="C6" i="9"/>
  <c r="G16" i="9"/>
  <c r="D16" i="9"/>
  <c r="C16" i="9"/>
  <c r="G10" i="9"/>
  <c r="D10" i="9"/>
  <c r="C10" i="9"/>
  <c r="G15" i="9"/>
  <c r="D15" i="9"/>
  <c r="C15" i="9"/>
  <c r="G14" i="9"/>
  <c r="D14" i="9"/>
  <c r="C14" i="9"/>
  <c r="G5" i="9"/>
  <c r="D5" i="9"/>
  <c r="C5" i="9"/>
  <c r="G13" i="9"/>
  <c r="D13" i="9"/>
  <c r="C13" i="9"/>
  <c r="G4" i="9"/>
  <c r="D4" i="9"/>
  <c r="C4" i="9"/>
  <c r="G11" i="9"/>
  <c r="D11" i="9"/>
  <c r="C11" i="9"/>
  <c r="G9" i="9"/>
  <c r="D9" i="9"/>
  <c r="C9" i="9"/>
  <c r="G3" i="9"/>
  <c r="D3" i="9"/>
  <c r="C3" i="9"/>
  <c r="G12" i="9"/>
  <c r="D12" i="9"/>
  <c r="C12" i="9"/>
  <c r="G2" i="9"/>
  <c r="D2" i="9"/>
  <c r="C2" i="9"/>
  <c r="G19" i="8"/>
  <c r="D19" i="8"/>
  <c r="C19" i="8"/>
  <c r="G18" i="8"/>
  <c r="C18" i="8" s="1"/>
  <c r="D18" i="8"/>
  <c r="G17" i="8"/>
  <c r="C17" i="8" s="1"/>
  <c r="D17" i="8"/>
  <c r="G16" i="8"/>
  <c r="C16" i="8" s="1"/>
  <c r="D16" i="8"/>
  <c r="G15" i="8"/>
  <c r="D15" i="8"/>
  <c r="C15" i="8"/>
  <c r="G14" i="8"/>
  <c r="C14" i="8" s="1"/>
  <c r="D14" i="8"/>
  <c r="G13" i="8"/>
  <c r="C13" i="8" s="1"/>
  <c r="D13" i="8"/>
  <c r="G12" i="8"/>
  <c r="D12" i="8"/>
  <c r="C12" i="8"/>
  <c r="G11" i="8"/>
  <c r="C11" i="8" s="1"/>
  <c r="D11" i="8"/>
  <c r="G10" i="8"/>
  <c r="C10" i="8" s="1"/>
  <c r="D10" i="8"/>
  <c r="G9" i="8"/>
  <c r="C9" i="8" s="1"/>
  <c r="D9" i="8"/>
  <c r="G8" i="8"/>
  <c r="C8" i="8" s="1"/>
  <c r="D8" i="8"/>
  <c r="G7" i="8"/>
  <c r="C7" i="8" s="1"/>
  <c r="D7" i="8"/>
  <c r="G6" i="8"/>
  <c r="C6" i="8" s="1"/>
  <c r="D6" i="8"/>
  <c r="G5" i="8"/>
  <c r="C5" i="8" s="1"/>
  <c r="D5" i="8"/>
  <c r="G4" i="8"/>
  <c r="C4" i="8" s="1"/>
  <c r="D4" i="8"/>
  <c r="G3" i="8"/>
  <c r="C3" i="8" s="1"/>
  <c r="D3" i="8"/>
  <c r="G2" i="8"/>
  <c r="C2" i="8" s="1"/>
  <c r="D2" i="8"/>
  <c r="E11" i="7"/>
  <c r="D11" i="7"/>
  <c r="C11" i="7" s="1"/>
  <c r="E7" i="7"/>
  <c r="D7" i="7"/>
  <c r="C7" i="7" s="1"/>
  <c r="E6" i="7"/>
  <c r="D6" i="7"/>
  <c r="C6" i="7" s="1"/>
  <c r="E5" i="7"/>
  <c r="D5" i="7"/>
  <c r="C5" i="7" s="1"/>
  <c r="E4" i="7"/>
  <c r="D4" i="7"/>
  <c r="C4" i="7" s="1"/>
  <c r="E3" i="7"/>
  <c r="D3" i="7"/>
  <c r="E65" i="6"/>
  <c r="D65" i="6"/>
  <c r="C65" i="6" s="1"/>
  <c r="E64" i="6"/>
  <c r="D64" i="6"/>
  <c r="C64" i="6" s="1"/>
  <c r="L64" i="6" s="1"/>
  <c r="E63" i="6"/>
  <c r="D63" i="6"/>
  <c r="C63" i="6" s="1"/>
  <c r="L63" i="6" s="1"/>
  <c r="E62" i="6"/>
  <c r="D62" i="6"/>
  <c r="C62" i="6" s="1"/>
  <c r="L62" i="6" s="1"/>
  <c r="E61" i="6"/>
  <c r="D61" i="6"/>
  <c r="E60" i="6"/>
  <c r="D60" i="6"/>
  <c r="C60" i="6" s="1"/>
  <c r="L60" i="6" s="1"/>
  <c r="E59" i="6"/>
  <c r="D59" i="6"/>
  <c r="C59" i="6" s="1"/>
  <c r="L59" i="6" s="1"/>
  <c r="E58" i="6"/>
  <c r="D58" i="6"/>
  <c r="C58" i="6" s="1"/>
  <c r="E57" i="6"/>
  <c r="D57" i="6"/>
  <c r="E56" i="6"/>
  <c r="D56" i="6"/>
  <c r="C56" i="6" s="1"/>
  <c r="L56" i="6" s="1"/>
  <c r="E55" i="6"/>
  <c r="D55" i="6"/>
  <c r="C55" i="6" s="1"/>
  <c r="E54" i="6"/>
  <c r="D54" i="6"/>
  <c r="C54" i="6" s="1"/>
  <c r="L54" i="6" s="1"/>
  <c r="E53" i="6"/>
  <c r="D53" i="6"/>
  <c r="C53" i="6" s="1"/>
  <c r="E52" i="6"/>
  <c r="D52" i="6"/>
  <c r="E51" i="6"/>
  <c r="D51" i="6"/>
  <c r="C51" i="6" s="1"/>
  <c r="L51" i="6" s="1"/>
  <c r="E50" i="6"/>
  <c r="D50" i="6"/>
  <c r="C50" i="6" s="1"/>
  <c r="L50" i="6" s="1"/>
  <c r="E49" i="6"/>
  <c r="D49" i="6"/>
  <c r="E48" i="6"/>
  <c r="D48" i="6"/>
  <c r="C48" i="6" s="1"/>
  <c r="E47" i="6"/>
  <c r="D47" i="6"/>
  <c r="C47" i="6" s="1"/>
  <c r="L47" i="6" s="1"/>
  <c r="E43" i="6"/>
  <c r="D43" i="6"/>
  <c r="C43" i="6" s="1"/>
  <c r="L43" i="6" s="1"/>
  <c r="E42" i="6"/>
  <c r="D42" i="6"/>
  <c r="E41" i="6"/>
  <c r="D41" i="6"/>
  <c r="C41" i="6" s="1"/>
  <c r="L41" i="6" s="1"/>
  <c r="E40" i="6"/>
  <c r="D40" i="6"/>
  <c r="C40" i="6" s="1"/>
  <c r="E39" i="6"/>
  <c r="D39" i="6"/>
  <c r="C39" i="6" s="1"/>
  <c r="L39" i="6" s="1"/>
  <c r="E38" i="6"/>
  <c r="D38" i="6"/>
  <c r="E37" i="6"/>
  <c r="D37" i="6"/>
  <c r="C37" i="6" s="1"/>
  <c r="L37" i="6" s="1"/>
  <c r="E36" i="6"/>
  <c r="D36" i="6"/>
  <c r="C36" i="6" s="1"/>
  <c r="L36" i="6" s="1"/>
  <c r="E35" i="6"/>
  <c r="D35" i="6"/>
  <c r="C35" i="6" s="1"/>
  <c r="E34" i="6"/>
  <c r="D34" i="6"/>
  <c r="E33" i="6"/>
  <c r="D33" i="6"/>
  <c r="C33" i="6" s="1"/>
  <c r="E32" i="6"/>
  <c r="D32" i="6"/>
  <c r="C32" i="6" s="1"/>
  <c r="L32" i="6" s="1"/>
  <c r="E31" i="6"/>
  <c r="D31" i="6"/>
  <c r="C31" i="6" s="1"/>
  <c r="L31" i="6" s="1"/>
  <c r="E30" i="6"/>
  <c r="D30" i="6"/>
  <c r="E29" i="6"/>
  <c r="D29" i="6"/>
  <c r="C29" i="6" s="1"/>
  <c r="L29" i="6" s="1"/>
  <c r="E28" i="6"/>
  <c r="D28" i="6"/>
  <c r="C28" i="6" s="1"/>
  <c r="E27" i="6"/>
  <c r="D27" i="6"/>
  <c r="C27" i="6" s="1"/>
  <c r="L27" i="6" s="1"/>
  <c r="E26" i="6"/>
  <c r="D26" i="6"/>
  <c r="C26" i="6" s="1"/>
  <c r="E25" i="6"/>
  <c r="D25" i="6"/>
  <c r="C2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3" i="6"/>
  <c r="C3" i="6" s="1"/>
  <c r="D4" i="6"/>
  <c r="C4" i="6" s="1"/>
  <c r="D5" i="6"/>
  <c r="C5" i="6" s="1"/>
  <c r="D6" i="6"/>
  <c r="C6" i="6" s="1"/>
  <c r="L6" i="6" s="1"/>
  <c r="D7" i="6"/>
  <c r="C7" i="6" s="1"/>
  <c r="D8" i="6"/>
  <c r="C8" i="6" s="1"/>
  <c r="D9" i="6"/>
  <c r="C9" i="6" s="1"/>
  <c r="D10" i="6"/>
  <c r="C10" i="6" s="1"/>
  <c r="L10" i="6" s="1"/>
  <c r="D11" i="6"/>
  <c r="C11" i="6" s="1"/>
  <c r="D12" i="6"/>
  <c r="C12" i="6" s="1"/>
  <c r="D13" i="6"/>
  <c r="C13" i="6" s="1"/>
  <c r="D14" i="6"/>
  <c r="C14" i="6" s="1"/>
  <c r="L14" i="6" s="1"/>
  <c r="D15" i="6"/>
  <c r="C15" i="6" s="1"/>
  <c r="D16" i="6"/>
  <c r="C16" i="6" s="1"/>
  <c r="D17" i="6"/>
  <c r="C17" i="6" s="1"/>
  <c r="D18" i="6"/>
  <c r="C18" i="6" s="1"/>
  <c r="L18" i="6" s="1"/>
  <c r="D19" i="6"/>
  <c r="C19" i="6" s="1"/>
  <c r="L19" i="6" s="1"/>
  <c r="D20" i="6"/>
  <c r="D21" i="6"/>
  <c r="C21" i="6" s="1"/>
  <c r="C344" i="4"/>
  <c r="D344" i="4"/>
  <c r="C340" i="4"/>
  <c r="D340" i="4"/>
  <c r="D335" i="4"/>
  <c r="C335" i="4"/>
  <c r="D346" i="4"/>
  <c r="C346" i="4"/>
  <c r="D345" i="4"/>
  <c r="C345" i="4"/>
  <c r="D341" i="4"/>
  <c r="C341" i="4"/>
  <c r="D339" i="4"/>
  <c r="C339" i="4"/>
  <c r="D342" i="4"/>
  <c r="C342" i="4"/>
  <c r="D338" i="4"/>
  <c r="C338" i="4"/>
  <c r="D336" i="4"/>
  <c r="C336" i="4"/>
  <c r="D343" i="4"/>
  <c r="C343" i="4"/>
  <c r="D337" i="4"/>
  <c r="C337" i="4"/>
  <c r="D334" i="4"/>
  <c r="C334" i="4"/>
  <c r="D332" i="4"/>
  <c r="C332" i="4"/>
  <c r="D331" i="4"/>
  <c r="C331" i="4"/>
  <c r="D333" i="4"/>
  <c r="C333" i="4"/>
  <c r="C301" i="4"/>
  <c r="D301" i="4"/>
  <c r="C304" i="4"/>
  <c r="D304" i="4"/>
  <c r="C291" i="4"/>
  <c r="D291" i="4"/>
  <c r="D314" i="4"/>
  <c r="C314" i="4"/>
  <c r="D327" i="4"/>
  <c r="C327" i="4"/>
  <c r="D325" i="4"/>
  <c r="C325" i="4"/>
  <c r="D323" i="4"/>
  <c r="C323" i="4"/>
  <c r="D318" i="4"/>
  <c r="C318" i="4"/>
  <c r="D316" i="4"/>
  <c r="C316" i="4"/>
  <c r="D320" i="4"/>
  <c r="C320" i="4"/>
  <c r="D313" i="4"/>
  <c r="C313" i="4"/>
  <c r="D315" i="4"/>
  <c r="C315" i="4"/>
  <c r="D326" i="4"/>
  <c r="C326" i="4"/>
  <c r="D321" i="4"/>
  <c r="C321" i="4"/>
  <c r="D324" i="4"/>
  <c r="C324" i="4"/>
  <c r="D317" i="4"/>
  <c r="C317" i="4"/>
  <c r="D322" i="4"/>
  <c r="C322" i="4"/>
  <c r="D319" i="4"/>
  <c r="C319" i="4"/>
  <c r="Y3" i="5"/>
  <c r="Z3" i="5"/>
  <c r="C286" i="4"/>
  <c r="D286" i="4"/>
  <c r="D309" i="4"/>
  <c r="C309" i="4"/>
  <c r="D308" i="4"/>
  <c r="C308" i="4"/>
  <c r="D305" i="4"/>
  <c r="C305" i="4"/>
  <c r="D295" i="4"/>
  <c r="C295" i="4"/>
  <c r="D302" i="4"/>
  <c r="C302" i="4"/>
  <c r="D292" i="4"/>
  <c r="C292" i="4"/>
  <c r="D306" i="4"/>
  <c r="C306" i="4"/>
  <c r="D293" i="4"/>
  <c r="C293" i="4"/>
  <c r="D300" i="4"/>
  <c r="C300" i="4"/>
  <c r="D307" i="4"/>
  <c r="C307" i="4"/>
  <c r="D303" i="4"/>
  <c r="C303" i="4"/>
  <c r="D297" i="4"/>
  <c r="C297" i="4"/>
  <c r="D298" i="4"/>
  <c r="C298" i="4"/>
  <c r="D299" i="4"/>
  <c r="C299" i="4"/>
  <c r="D294" i="4"/>
  <c r="C294" i="4"/>
  <c r="D296" i="4"/>
  <c r="C296" i="4"/>
  <c r="C249" i="4"/>
  <c r="D249" i="4"/>
  <c r="C258" i="4"/>
  <c r="D258" i="4"/>
  <c r="C256" i="4"/>
  <c r="D256" i="4"/>
  <c r="G250" i="4"/>
  <c r="C250" i="4" s="1"/>
  <c r="G252" i="4"/>
  <c r="C252" i="4" s="1"/>
  <c r="D284" i="4"/>
  <c r="C284" i="4"/>
  <c r="D279" i="4"/>
  <c r="C279" i="4"/>
  <c r="D278" i="4"/>
  <c r="C278" i="4"/>
  <c r="D287" i="4"/>
  <c r="C287" i="4"/>
  <c r="D281" i="4"/>
  <c r="C281" i="4"/>
  <c r="D280" i="4"/>
  <c r="C280" i="4"/>
  <c r="D276" i="4"/>
  <c r="C276" i="4"/>
  <c r="D277" i="4"/>
  <c r="C277" i="4"/>
  <c r="D271" i="4"/>
  <c r="C271" i="4"/>
  <c r="D285" i="4"/>
  <c r="C285" i="4"/>
  <c r="D275" i="4"/>
  <c r="C275" i="4"/>
  <c r="D272" i="4"/>
  <c r="C272" i="4"/>
  <c r="D273" i="4"/>
  <c r="C273" i="4"/>
  <c r="D274" i="4"/>
  <c r="C274" i="4"/>
  <c r="D283" i="4"/>
  <c r="C283" i="4"/>
  <c r="D282" i="4"/>
  <c r="C282" i="4"/>
  <c r="D254" i="4"/>
  <c r="C254" i="4"/>
  <c r="D267" i="4"/>
  <c r="C267" i="4"/>
  <c r="D263" i="4"/>
  <c r="C263" i="4"/>
  <c r="D265" i="4"/>
  <c r="C265" i="4"/>
  <c r="D257" i="4"/>
  <c r="C257" i="4"/>
  <c r="D250" i="4"/>
  <c r="D264" i="4"/>
  <c r="C264" i="4"/>
  <c r="D259" i="4"/>
  <c r="C259" i="4"/>
  <c r="D252" i="4"/>
  <c r="D266" i="4"/>
  <c r="C266" i="4"/>
  <c r="D261" i="4"/>
  <c r="C261" i="4"/>
  <c r="D262" i="4"/>
  <c r="C262" i="4"/>
  <c r="D260" i="4"/>
  <c r="C260" i="4"/>
  <c r="D251" i="4"/>
  <c r="C251" i="4"/>
  <c r="D253" i="4"/>
  <c r="C253" i="4"/>
  <c r="D255" i="4"/>
  <c r="C255" i="4"/>
  <c r="C222" i="4"/>
  <c r="D222" i="4"/>
  <c r="D230" i="4"/>
  <c r="C230" i="4"/>
  <c r="D245" i="4"/>
  <c r="C245" i="4"/>
  <c r="D244" i="4"/>
  <c r="C244" i="4"/>
  <c r="D241" i="4"/>
  <c r="C241" i="4"/>
  <c r="D238" i="4"/>
  <c r="C238" i="4"/>
  <c r="D237" i="4"/>
  <c r="C237" i="4"/>
  <c r="D240" i="4"/>
  <c r="C240" i="4"/>
  <c r="D231" i="4"/>
  <c r="C231" i="4"/>
  <c r="D243" i="4"/>
  <c r="C243" i="4"/>
  <c r="D234" i="4"/>
  <c r="C234" i="4"/>
  <c r="D242" i="4"/>
  <c r="C242" i="4"/>
  <c r="D236" i="4"/>
  <c r="C236" i="4"/>
  <c r="D239" i="4"/>
  <c r="C239" i="4"/>
  <c r="D232" i="4"/>
  <c r="C232" i="4"/>
  <c r="D233" i="4"/>
  <c r="C233" i="4"/>
  <c r="D235" i="4"/>
  <c r="C235" i="4"/>
  <c r="C201" i="4"/>
  <c r="D201" i="4"/>
  <c r="C204" i="4"/>
  <c r="D204" i="4"/>
  <c r="C206" i="4"/>
  <c r="D206" i="4"/>
  <c r="C199" i="4"/>
  <c r="D199" i="4"/>
  <c r="C196" i="4"/>
  <c r="D196" i="4"/>
  <c r="G195" i="4"/>
  <c r="C195" i="4" s="1"/>
  <c r="D219" i="4"/>
  <c r="C219" i="4"/>
  <c r="D218" i="4"/>
  <c r="C218" i="4"/>
  <c r="D221" i="4"/>
  <c r="C221" i="4"/>
  <c r="D223" i="4"/>
  <c r="C223" i="4"/>
  <c r="D216" i="4"/>
  <c r="C216" i="4"/>
  <c r="D217" i="4"/>
  <c r="C217" i="4"/>
  <c r="D215" i="4"/>
  <c r="C215" i="4"/>
  <c r="D214" i="4"/>
  <c r="C214" i="4"/>
  <c r="D226" i="4"/>
  <c r="C226" i="4"/>
  <c r="D225" i="4"/>
  <c r="C225" i="4"/>
  <c r="D224" i="4"/>
  <c r="C224" i="4"/>
  <c r="D220" i="4"/>
  <c r="C220" i="4"/>
  <c r="D212" i="4"/>
  <c r="C212" i="4"/>
  <c r="D211" i="4"/>
  <c r="C211" i="4"/>
  <c r="D210" i="4"/>
  <c r="C210" i="4"/>
  <c r="D213" i="4"/>
  <c r="C213" i="4"/>
  <c r="C178" i="4"/>
  <c r="D178" i="4"/>
  <c r="C179" i="4"/>
  <c r="D179" i="4"/>
  <c r="D205" i="4"/>
  <c r="C205" i="4"/>
  <c r="D195" i="4"/>
  <c r="D200" i="4"/>
  <c r="C200" i="4"/>
  <c r="D194" i="4"/>
  <c r="C194" i="4"/>
  <c r="D197" i="4"/>
  <c r="C197" i="4"/>
  <c r="D198" i="4"/>
  <c r="C198" i="4"/>
  <c r="D191" i="4"/>
  <c r="C191" i="4"/>
  <c r="D189" i="4"/>
  <c r="C189" i="4"/>
  <c r="D186" i="4"/>
  <c r="C186" i="4"/>
  <c r="D203" i="4"/>
  <c r="C203" i="4"/>
  <c r="D202" i="4"/>
  <c r="C202" i="4"/>
  <c r="D192" i="4"/>
  <c r="C192" i="4"/>
  <c r="D188" i="4"/>
  <c r="C188" i="4"/>
  <c r="D190" i="4"/>
  <c r="C190" i="4"/>
  <c r="D187" i="4"/>
  <c r="C187" i="4"/>
  <c r="D193" i="4"/>
  <c r="C193" i="4"/>
  <c r="C145" i="4"/>
  <c r="D145" i="4"/>
  <c r="D165" i="4"/>
  <c r="C165" i="4"/>
  <c r="D182" i="4"/>
  <c r="C182" i="4"/>
  <c r="D181" i="4"/>
  <c r="C181" i="4"/>
  <c r="D172" i="4"/>
  <c r="C172" i="4"/>
  <c r="D174" i="4"/>
  <c r="C174" i="4"/>
  <c r="D177" i="4"/>
  <c r="C177" i="4"/>
  <c r="D166" i="4"/>
  <c r="C166" i="4"/>
  <c r="D170" i="4"/>
  <c r="C170" i="4"/>
  <c r="D168" i="4"/>
  <c r="C168" i="4"/>
  <c r="D180" i="4"/>
  <c r="C180" i="4"/>
  <c r="D167" i="4"/>
  <c r="C167" i="4"/>
  <c r="D175" i="4"/>
  <c r="C175" i="4"/>
  <c r="D176" i="4"/>
  <c r="C176" i="4"/>
  <c r="D171" i="4"/>
  <c r="C171" i="4"/>
  <c r="D173" i="4"/>
  <c r="C173" i="4"/>
  <c r="D169" i="4"/>
  <c r="C169" i="4"/>
  <c r="C140" i="4"/>
  <c r="D140" i="4"/>
  <c r="D161" i="4"/>
  <c r="C161" i="4"/>
  <c r="D154" i="4"/>
  <c r="C154" i="4"/>
  <c r="D160" i="4"/>
  <c r="C160" i="4"/>
  <c r="D156" i="4"/>
  <c r="C156" i="4"/>
  <c r="D159" i="4"/>
  <c r="C159" i="4"/>
  <c r="D149" i="4"/>
  <c r="C149" i="4"/>
  <c r="D151" i="4"/>
  <c r="C151" i="4"/>
  <c r="D152" i="4"/>
  <c r="C152" i="4"/>
  <c r="D146" i="4"/>
  <c r="C146" i="4"/>
  <c r="D158" i="4"/>
  <c r="C158" i="4"/>
  <c r="D153" i="4"/>
  <c r="C153" i="4"/>
  <c r="D157" i="4"/>
  <c r="C157" i="4"/>
  <c r="D148" i="4"/>
  <c r="C148" i="4"/>
  <c r="D147" i="4"/>
  <c r="C147" i="4"/>
  <c r="D155" i="4"/>
  <c r="C155" i="4"/>
  <c r="D150" i="4"/>
  <c r="C150" i="4"/>
  <c r="D127" i="4"/>
  <c r="C127" i="4"/>
  <c r="D125" i="4"/>
  <c r="C125" i="4"/>
  <c r="D141" i="4"/>
  <c r="C141" i="4"/>
  <c r="D139" i="4"/>
  <c r="C139" i="4"/>
  <c r="D133" i="4"/>
  <c r="C133" i="4"/>
  <c r="D135" i="4"/>
  <c r="C135" i="4"/>
  <c r="D130" i="4"/>
  <c r="C130" i="4"/>
  <c r="D132" i="4"/>
  <c r="C132" i="4"/>
  <c r="D131" i="4"/>
  <c r="C131" i="4"/>
  <c r="D137" i="4"/>
  <c r="C137" i="4"/>
  <c r="D136" i="4"/>
  <c r="C136" i="4"/>
  <c r="D138" i="4"/>
  <c r="C138" i="4"/>
  <c r="D134" i="4"/>
  <c r="C134" i="4"/>
  <c r="D126" i="4"/>
  <c r="C126" i="4"/>
  <c r="D128" i="4"/>
  <c r="C128" i="4"/>
  <c r="D129" i="4"/>
  <c r="C129" i="4"/>
  <c r="C100" i="4"/>
  <c r="D100" i="4"/>
  <c r="C97" i="4"/>
  <c r="D97" i="4"/>
  <c r="C99" i="4"/>
  <c r="D99" i="4"/>
  <c r="G90" i="4"/>
  <c r="C90" i="4" s="1"/>
  <c r="G86" i="4"/>
  <c r="C86" i="4" s="1"/>
  <c r="G84" i="4"/>
  <c r="C84" i="4" s="1"/>
  <c r="G96" i="4"/>
  <c r="C96" i="4" s="1"/>
  <c r="G94" i="4"/>
  <c r="C94" i="4" s="1"/>
  <c r="G98" i="4"/>
  <c r="C98" i="4" s="1"/>
  <c r="G88" i="4"/>
  <c r="C88" i="4" s="1"/>
  <c r="G89" i="4"/>
  <c r="C89" i="4" s="1"/>
  <c r="G85" i="4"/>
  <c r="C85" i="4" s="1"/>
  <c r="G87" i="4"/>
  <c r="C87" i="4" s="1"/>
  <c r="D120" i="4"/>
  <c r="C120" i="4"/>
  <c r="D119" i="4"/>
  <c r="C119" i="4"/>
  <c r="D116" i="4"/>
  <c r="C116" i="4"/>
  <c r="D113" i="4"/>
  <c r="C113" i="4"/>
  <c r="D121" i="4"/>
  <c r="C121" i="4"/>
  <c r="D118" i="4"/>
  <c r="C118" i="4"/>
  <c r="D115" i="4"/>
  <c r="C115" i="4"/>
  <c r="D108" i="4"/>
  <c r="C108" i="4"/>
  <c r="D106" i="4"/>
  <c r="C106" i="4"/>
  <c r="D117" i="4"/>
  <c r="C117" i="4"/>
  <c r="D112" i="4"/>
  <c r="C112" i="4"/>
  <c r="D114" i="4"/>
  <c r="C114" i="4"/>
  <c r="D110" i="4"/>
  <c r="C110" i="4"/>
  <c r="D107" i="4"/>
  <c r="C107" i="4"/>
  <c r="D109" i="4"/>
  <c r="C109" i="4"/>
  <c r="D111" i="4"/>
  <c r="C111" i="4"/>
  <c r="G70" i="4"/>
  <c r="G71" i="4"/>
  <c r="G78" i="4"/>
  <c r="C78" i="4" s="1"/>
  <c r="G75" i="4"/>
  <c r="C75" i="4" s="1"/>
  <c r="G80" i="4"/>
  <c r="C80" i="4" s="1"/>
  <c r="G76" i="4"/>
  <c r="C76" i="4" s="1"/>
  <c r="G72" i="4"/>
  <c r="C72" i="4" s="1"/>
  <c r="G73" i="4"/>
  <c r="C73" i="4" s="1"/>
  <c r="G66" i="4"/>
  <c r="C66" i="4" s="1"/>
  <c r="G77" i="4"/>
  <c r="C77" i="4" s="1"/>
  <c r="G74" i="4"/>
  <c r="C74" i="4" s="1"/>
  <c r="G79" i="4"/>
  <c r="C79" i="4" s="1"/>
  <c r="G67" i="4"/>
  <c r="C67" i="4" s="1"/>
  <c r="G69" i="4"/>
  <c r="C69" i="4" s="1"/>
  <c r="G65" i="4"/>
  <c r="C65" i="4" s="1"/>
  <c r="G68" i="4"/>
  <c r="C68" i="4" s="1"/>
  <c r="D102" i="4"/>
  <c r="C102" i="4"/>
  <c r="D95" i="4"/>
  <c r="C95" i="4"/>
  <c r="D91" i="4"/>
  <c r="C91" i="4"/>
  <c r="D101" i="4"/>
  <c r="C101" i="4"/>
  <c r="D92" i="4"/>
  <c r="C92" i="4"/>
  <c r="D93" i="4"/>
  <c r="C93" i="4"/>
  <c r="D90" i="4"/>
  <c r="D86" i="4"/>
  <c r="D84" i="4"/>
  <c r="D96" i="4"/>
  <c r="D94" i="4"/>
  <c r="D98" i="4"/>
  <c r="D88" i="4"/>
  <c r="D89" i="4"/>
  <c r="D85" i="4"/>
  <c r="D87" i="4"/>
  <c r="D70" i="4"/>
  <c r="C70" i="4"/>
  <c r="D71" i="4"/>
  <c r="C71" i="4"/>
  <c r="D78" i="4"/>
  <c r="D75" i="4"/>
  <c r="D80" i="4"/>
  <c r="D76" i="4"/>
  <c r="D72" i="4"/>
  <c r="D73" i="4"/>
  <c r="D66" i="4"/>
  <c r="D77" i="4"/>
  <c r="D74" i="4"/>
  <c r="D79" i="4"/>
  <c r="D67" i="4"/>
  <c r="D69" i="4"/>
  <c r="D65" i="4"/>
  <c r="D68" i="4"/>
  <c r="G47" i="4"/>
  <c r="G61" i="4"/>
  <c r="C61" i="4" s="1"/>
  <c r="G57" i="4"/>
  <c r="C57" i="4" s="1"/>
  <c r="G55" i="4"/>
  <c r="C55" i="4" s="1"/>
  <c r="G60" i="4"/>
  <c r="C60" i="4" s="1"/>
  <c r="G52" i="4"/>
  <c r="C52" i="4" s="1"/>
  <c r="G56" i="4"/>
  <c r="C56" i="4" s="1"/>
  <c r="G58" i="4"/>
  <c r="C58" i="4" s="1"/>
  <c r="G51" i="4"/>
  <c r="C51" i="4" s="1"/>
  <c r="G48" i="4"/>
  <c r="C48" i="4" s="1"/>
  <c r="G59" i="4"/>
  <c r="C59" i="4" s="1"/>
  <c r="G54" i="4"/>
  <c r="C54" i="4" s="1"/>
  <c r="G53" i="4"/>
  <c r="C53" i="4" s="1"/>
  <c r="G50" i="4"/>
  <c r="C50" i="4" s="1"/>
  <c r="G46" i="4"/>
  <c r="C46" i="4" s="1"/>
  <c r="G49" i="4"/>
  <c r="C49" i="4" s="1"/>
  <c r="D47" i="4"/>
  <c r="C47" i="4"/>
  <c r="D61" i="4"/>
  <c r="D57" i="4"/>
  <c r="D55" i="4"/>
  <c r="D60" i="4"/>
  <c r="D52" i="4"/>
  <c r="D56" i="4"/>
  <c r="D58" i="4"/>
  <c r="D51" i="4"/>
  <c r="D48" i="4"/>
  <c r="D59" i="4"/>
  <c r="D54" i="4"/>
  <c r="D53" i="4"/>
  <c r="D50" i="4"/>
  <c r="D46" i="4"/>
  <c r="D49" i="4"/>
  <c r="G34" i="4"/>
  <c r="G27" i="4"/>
  <c r="G42" i="4"/>
  <c r="C42" i="4" s="1"/>
  <c r="G41" i="4"/>
  <c r="C41" i="4" s="1"/>
  <c r="G38" i="4"/>
  <c r="C38" i="4" s="1"/>
  <c r="G39" i="4"/>
  <c r="C39" i="4" s="1"/>
  <c r="G25" i="4"/>
  <c r="C25" i="4" s="1"/>
  <c r="G33" i="4"/>
  <c r="C33" i="4" s="1"/>
  <c r="G35" i="4"/>
  <c r="C35" i="4" s="1"/>
  <c r="G32" i="4"/>
  <c r="C32" i="4" s="1"/>
  <c r="G30" i="4"/>
  <c r="C30" i="4" s="1"/>
  <c r="G40" i="4"/>
  <c r="C40" i="4" s="1"/>
  <c r="G37" i="4"/>
  <c r="C37" i="4" s="1"/>
  <c r="G36" i="4"/>
  <c r="C36" i="4" s="1"/>
  <c r="G31" i="4"/>
  <c r="C31" i="4" s="1"/>
  <c r="G29" i="4"/>
  <c r="C29" i="4" s="1"/>
  <c r="G26" i="4"/>
  <c r="C26" i="4" s="1"/>
  <c r="G24" i="4"/>
  <c r="C24" i="4" s="1"/>
  <c r="G28" i="4"/>
  <c r="C28" i="4" s="1"/>
  <c r="C34" i="4"/>
  <c r="D34" i="4"/>
  <c r="C27" i="4"/>
  <c r="D27" i="4"/>
  <c r="D42" i="4"/>
  <c r="D41" i="4"/>
  <c r="D38" i="4"/>
  <c r="D39" i="4"/>
  <c r="D25" i="4"/>
  <c r="D33" i="4"/>
  <c r="D35" i="4"/>
  <c r="D32" i="4"/>
  <c r="D30" i="4"/>
  <c r="D40" i="4"/>
  <c r="D37" i="4"/>
  <c r="D36" i="4"/>
  <c r="D31" i="4"/>
  <c r="D29" i="4"/>
  <c r="D26" i="4"/>
  <c r="D24" i="4"/>
  <c r="D28" i="4"/>
  <c r="C16" i="4"/>
  <c r="D8" i="4"/>
  <c r="D5" i="4"/>
  <c r="D7" i="4"/>
  <c r="D4" i="4"/>
  <c r="D10" i="4"/>
  <c r="D15" i="4"/>
  <c r="D14" i="4"/>
  <c r="D18" i="4"/>
  <c r="D3" i="4"/>
  <c r="D6" i="4"/>
  <c r="D13" i="4"/>
  <c r="D11" i="4"/>
  <c r="D9" i="4"/>
  <c r="D12" i="4"/>
  <c r="D17" i="4"/>
  <c r="D20" i="4"/>
  <c r="D19" i="4"/>
  <c r="D16" i="4"/>
  <c r="G16" i="4"/>
  <c r="G19" i="4"/>
  <c r="C19" i="4" s="1"/>
  <c r="G20" i="4"/>
  <c r="C20" i="4" s="1"/>
  <c r="G17" i="4"/>
  <c r="C17" i="4" s="1"/>
  <c r="G12" i="4"/>
  <c r="C12" i="4" s="1"/>
  <c r="G9" i="4"/>
  <c r="C9" i="4" s="1"/>
  <c r="G11" i="4"/>
  <c r="C11" i="4" s="1"/>
  <c r="G13" i="4"/>
  <c r="C13" i="4" s="1"/>
  <c r="G6" i="4"/>
  <c r="C6" i="4" s="1"/>
  <c r="G3" i="4"/>
  <c r="C3" i="4" s="1"/>
  <c r="G18" i="4"/>
  <c r="C18" i="4" s="1"/>
  <c r="G14" i="4"/>
  <c r="C14" i="4" s="1"/>
  <c r="G15" i="4"/>
  <c r="C15" i="4" s="1"/>
  <c r="G10" i="4"/>
  <c r="C10" i="4" s="1"/>
  <c r="G4" i="4"/>
  <c r="C4" i="4" s="1"/>
  <c r="G7" i="4"/>
  <c r="C7" i="4" s="1"/>
  <c r="G5" i="4"/>
  <c r="C5" i="4" s="1"/>
  <c r="G8" i="4"/>
  <c r="C8" i="4" s="1"/>
  <c r="J21" i="1"/>
  <c r="J20" i="1"/>
  <c r="J10" i="1"/>
  <c r="J18" i="1"/>
  <c r="J15" i="1"/>
  <c r="J16" i="1"/>
  <c r="J11" i="1"/>
  <c r="J13" i="1"/>
  <c r="J12" i="1"/>
  <c r="J14" i="1"/>
  <c r="J19" i="1"/>
  <c r="J17" i="1"/>
  <c r="J6" i="1"/>
  <c r="J8" i="1"/>
  <c r="J9" i="1"/>
  <c r="J7" i="1"/>
  <c r="J5" i="1"/>
  <c r="J4" i="1"/>
  <c r="J3" i="1"/>
  <c r="J2" i="1"/>
  <c r="I21" i="1"/>
  <c r="I20" i="1"/>
  <c r="I10" i="1"/>
  <c r="I18" i="1"/>
  <c r="I15" i="1"/>
  <c r="I16" i="1"/>
  <c r="I11" i="1"/>
  <c r="I13" i="1"/>
  <c r="I12" i="1"/>
  <c r="I14" i="1"/>
  <c r="I19" i="1"/>
  <c r="I17" i="1"/>
  <c r="I6" i="1"/>
  <c r="I8" i="1"/>
  <c r="I9" i="1"/>
  <c r="I7" i="1"/>
  <c r="I5" i="1"/>
  <c r="I4" i="1"/>
  <c r="I3" i="1"/>
  <c r="I2" i="1"/>
  <c r="J1" i="3"/>
  <c r="K1" i="3"/>
  <c r="L1" i="3"/>
  <c r="M1" i="3"/>
  <c r="O1" i="3"/>
  <c r="N1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AF2" i="2"/>
  <c r="L2" i="7" l="1"/>
  <c r="P18" i="19"/>
  <c r="P18" i="21"/>
  <c r="L6" i="18"/>
  <c r="L5" i="18"/>
  <c r="L15" i="18"/>
  <c r="L7" i="18"/>
  <c r="L18" i="18"/>
  <c r="L11" i="18"/>
  <c r="C12" i="18"/>
  <c r="L12" i="18" s="1"/>
  <c r="C17" i="18"/>
  <c r="L17" i="18" s="1"/>
  <c r="C4" i="18"/>
  <c r="L4" i="18" s="1"/>
  <c r="L13" i="18"/>
  <c r="L14" i="18"/>
  <c r="L9" i="18"/>
  <c r="L19" i="16"/>
  <c r="L18" i="16"/>
  <c r="P19" i="13"/>
  <c r="P8" i="14"/>
  <c r="L9" i="12"/>
  <c r="P15" i="22"/>
  <c r="P18" i="22"/>
  <c r="P20" i="8"/>
  <c r="P16" i="21"/>
  <c r="P8" i="21"/>
  <c r="L22" i="7"/>
  <c r="P17" i="19"/>
  <c r="L21" i="7"/>
  <c r="L9" i="16"/>
  <c r="L7" i="16"/>
  <c r="L11" i="16"/>
  <c r="C21" i="16"/>
  <c r="L21" i="16" s="1"/>
  <c r="C8" i="16"/>
  <c r="L8" i="16" s="1"/>
  <c r="L3" i="16"/>
  <c r="L4" i="16"/>
  <c r="C17" i="16"/>
  <c r="L17" i="16" s="1"/>
  <c r="C15" i="16"/>
  <c r="L15" i="16" s="1"/>
  <c r="C12" i="16"/>
  <c r="L12" i="16" s="1"/>
  <c r="L19" i="7"/>
  <c r="L19" i="12"/>
  <c r="L2" i="12"/>
  <c r="L3" i="12"/>
  <c r="L5" i="12"/>
  <c r="C8" i="12"/>
  <c r="L8" i="12" s="1"/>
  <c r="C16" i="12"/>
  <c r="L16" i="12" s="1"/>
  <c r="C15" i="12"/>
  <c r="L15" i="12" s="1"/>
  <c r="C12" i="12"/>
  <c r="L12" i="12" s="1"/>
  <c r="P16" i="22"/>
  <c r="P10" i="25"/>
  <c r="P8" i="25"/>
  <c r="P6" i="25"/>
  <c r="P16" i="25"/>
  <c r="P11" i="25"/>
  <c r="P9" i="25"/>
  <c r="P5" i="25"/>
  <c r="P21" i="25"/>
  <c r="P19" i="25"/>
  <c r="P7" i="25"/>
  <c r="P13" i="25"/>
  <c r="P15" i="25"/>
  <c r="L18" i="7"/>
  <c r="L20" i="7"/>
  <c r="L17" i="7"/>
  <c r="L16" i="7"/>
  <c r="L15" i="7"/>
  <c r="L14" i="7"/>
  <c r="L3" i="18"/>
  <c r="L16" i="18"/>
  <c r="L10" i="18"/>
  <c r="L6" i="16"/>
  <c r="L6" i="12"/>
  <c r="L7" i="12"/>
  <c r="L10" i="12"/>
  <c r="L11" i="12"/>
  <c r="L13" i="12"/>
  <c r="L14" i="12"/>
  <c r="L4" i="12"/>
  <c r="L17" i="12"/>
  <c r="L18" i="12"/>
  <c r="L13" i="7"/>
  <c r="L12" i="7"/>
  <c r="P22" i="25"/>
  <c r="P20" i="25"/>
  <c r="P17" i="25"/>
  <c r="P4" i="25"/>
  <c r="P2" i="25"/>
  <c r="L10" i="7"/>
  <c r="L8" i="18"/>
  <c r="L2" i="18"/>
  <c r="L9" i="7"/>
  <c r="L5" i="16"/>
  <c r="L10" i="16"/>
  <c r="L14" i="16"/>
  <c r="L13" i="16"/>
  <c r="L2" i="16"/>
  <c r="L16" i="16"/>
  <c r="L8" i="7"/>
  <c r="C3" i="7"/>
  <c r="L3" i="7" s="1"/>
  <c r="L5" i="7"/>
  <c r="P7" i="27"/>
  <c r="P5" i="27"/>
  <c r="P3" i="27"/>
  <c r="P4" i="27"/>
  <c r="P12" i="27"/>
  <c r="P11" i="26"/>
  <c r="P12" i="26"/>
  <c r="P13" i="26"/>
  <c r="P5" i="26"/>
  <c r="P7" i="26"/>
  <c r="P16" i="20"/>
  <c r="P18" i="20"/>
  <c r="P7" i="20"/>
  <c r="P20" i="20"/>
  <c r="P4" i="24"/>
  <c r="P14" i="24"/>
  <c r="P14" i="25"/>
  <c r="P11" i="24"/>
  <c r="P5" i="24"/>
  <c r="P2" i="8"/>
  <c r="P6" i="8"/>
  <c r="P10" i="8"/>
  <c r="P14" i="8"/>
  <c r="P18" i="8"/>
  <c r="P3" i="9"/>
  <c r="P13" i="9"/>
  <c r="P10" i="9"/>
  <c r="P17" i="9"/>
  <c r="P20" i="9"/>
  <c r="P9" i="10"/>
  <c r="P4" i="10"/>
  <c r="P13" i="10"/>
  <c r="P16" i="10"/>
  <c r="P10" i="11"/>
  <c r="P12" i="11"/>
  <c r="P16" i="11"/>
  <c r="P3" i="17"/>
  <c r="P12" i="19"/>
  <c r="P4" i="8"/>
  <c r="P8" i="8"/>
  <c r="P12" i="8"/>
  <c r="P16" i="8"/>
  <c r="P2" i="9"/>
  <c r="P11" i="9"/>
  <c r="P14" i="9"/>
  <c r="P6" i="9"/>
  <c r="P8" i="9"/>
  <c r="P7" i="10"/>
  <c r="P10" i="10"/>
  <c r="P11" i="10"/>
  <c r="P6" i="10"/>
  <c r="P11" i="11"/>
  <c r="P8" i="11"/>
  <c r="P5" i="11"/>
  <c r="P15" i="11"/>
  <c r="L21" i="6"/>
  <c r="L17" i="6"/>
  <c r="L13" i="6"/>
  <c r="L9" i="6"/>
  <c r="L5" i="6"/>
  <c r="P9" i="13"/>
  <c r="P12" i="13"/>
  <c r="P15" i="13"/>
  <c r="P8" i="13"/>
  <c r="P6" i="14"/>
  <c r="P9" i="14"/>
  <c r="P11" i="15"/>
  <c r="P13" i="15"/>
  <c r="P4" i="15"/>
  <c r="P5" i="15"/>
  <c r="P7" i="15"/>
  <c r="P9" i="15"/>
  <c r="P13" i="17"/>
  <c r="P4" i="17"/>
  <c r="P10" i="17"/>
  <c r="P2" i="19"/>
  <c r="P11" i="19"/>
  <c r="P10" i="22"/>
  <c r="P15" i="23"/>
  <c r="P8" i="27"/>
  <c r="P14" i="27"/>
  <c r="P3" i="13"/>
  <c r="P5" i="13"/>
  <c r="P13" i="13"/>
  <c r="P16" i="13"/>
  <c r="P17" i="13"/>
  <c r="P4" i="14"/>
  <c r="P5" i="14"/>
  <c r="P10" i="15"/>
  <c r="P6" i="15"/>
  <c r="P9" i="17"/>
  <c r="P7" i="17"/>
  <c r="P17" i="17"/>
  <c r="P16" i="19"/>
  <c r="P9" i="19"/>
  <c r="P3" i="20"/>
  <c r="P19" i="20"/>
  <c r="P6" i="24"/>
  <c r="P8" i="19"/>
  <c r="P14" i="21"/>
  <c r="P7" i="21"/>
  <c r="P9" i="24"/>
  <c r="P7" i="24"/>
  <c r="P6" i="27"/>
  <c r="P15" i="27"/>
  <c r="P3" i="15"/>
  <c r="P12" i="17"/>
  <c r="P16" i="17"/>
  <c r="P4" i="19"/>
  <c r="P5" i="19"/>
  <c r="P10" i="19"/>
  <c r="P13" i="20"/>
  <c r="P14" i="20"/>
  <c r="P12" i="21"/>
  <c r="P12" i="22"/>
  <c r="P6" i="22"/>
  <c r="P17" i="22"/>
  <c r="P2" i="23"/>
  <c r="P8" i="24"/>
  <c r="P14" i="19"/>
  <c r="P15" i="19"/>
  <c r="P4" i="20"/>
  <c r="P5" i="20"/>
  <c r="P12" i="20"/>
  <c r="P15" i="20"/>
  <c r="P3" i="21"/>
  <c r="P9" i="21"/>
  <c r="P11" i="21"/>
  <c r="P13" i="21"/>
  <c r="P15" i="21"/>
  <c r="P16" i="23"/>
  <c r="P8" i="23"/>
  <c r="P16" i="24"/>
  <c r="P8" i="26"/>
  <c r="P9" i="27"/>
  <c r="P16" i="27"/>
  <c r="P2" i="14"/>
  <c r="P11" i="14"/>
  <c r="P7" i="14"/>
  <c r="P13" i="14"/>
  <c r="P15" i="15"/>
  <c r="P17" i="15"/>
  <c r="P8" i="17"/>
  <c r="P15" i="17"/>
  <c r="P5" i="22"/>
  <c r="P13" i="22"/>
  <c r="P2" i="24"/>
  <c r="P14" i="26"/>
  <c r="P15" i="26"/>
  <c r="P10" i="27"/>
  <c r="P5" i="8"/>
  <c r="P9" i="8"/>
  <c r="P13" i="8"/>
  <c r="P17" i="8"/>
  <c r="P12" i="9"/>
  <c r="P4" i="9"/>
  <c r="P15" i="9"/>
  <c r="P7" i="9"/>
  <c r="P19" i="9"/>
  <c r="P8" i="10"/>
  <c r="P12" i="10"/>
  <c r="P15" i="10"/>
  <c r="P3" i="11"/>
  <c r="P9" i="11"/>
  <c r="P14" i="11"/>
  <c r="P7" i="11"/>
  <c r="P10" i="13"/>
  <c r="P11" i="13"/>
  <c r="P14" i="13"/>
  <c r="P7" i="13"/>
  <c r="P12" i="14"/>
  <c r="P16" i="15"/>
  <c r="P3" i="8"/>
  <c r="P7" i="8"/>
  <c r="P11" i="8"/>
  <c r="P15" i="8"/>
  <c r="P19" i="8"/>
  <c r="P2" i="13"/>
  <c r="P4" i="13"/>
  <c r="P3" i="14"/>
  <c r="P14" i="14"/>
  <c r="P10" i="14"/>
  <c r="P9" i="9"/>
  <c r="P5" i="9"/>
  <c r="P16" i="9"/>
  <c r="P18" i="9"/>
  <c r="P2" i="10"/>
  <c r="P3" i="10"/>
  <c r="P5" i="10"/>
  <c r="P14" i="10"/>
  <c r="P2" i="11"/>
  <c r="P4" i="11"/>
  <c r="P13" i="11"/>
  <c r="P6" i="11"/>
  <c r="P6" i="13"/>
  <c r="P18" i="13"/>
  <c r="P15" i="14"/>
  <c r="P2" i="15"/>
  <c r="P12" i="15"/>
  <c r="P14" i="15"/>
  <c r="P11" i="17"/>
  <c r="P5" i="17"/>
  <c r="P6" i="17"/>
  <c r="P13" i="19"/>
  <c r="P3" i="19"/>
  <c r="P6" i="19"/>
  <c r="P11" i="20"/>
  <c r="P8" i="20"/>
  <c r="P10" i="20"/>
  <c r="P17" i="20"/>
  <c r="P6" i="20"/>
  <c r="P4" i="21"/>
  <c r="P10" i="21"/>
  <c r="P17" i="21"/>
  <c r="P11" i="22"/>
  <c r="P3" i="22"/>
  <c r="P7" i="22"/>
  <c r="P3" i="23"/>
  <c r="P13" i="23"/>
  <c r="P18" i="23"/>
  <c r="P12" i="24"/>
  <c r="P15" i="24"/>
  <c r="P10" i="24"/>
  <c r="P9" i="26"/>
  <c r="P4" i="26"/>
  <c r="P2" i="27"/>
  <c r="P11" i="27"/>
  <c r="P13" i="27"/>
  <c r="P2" i="17"/>
  <c r="P7" i="19"/>
  <c r="P5" i="21"/>
  <c r="P6" i="23"/>
  <c r="P3" i="24"/>
  <c r="P8" i="15"/>
  <c r="P14" i="17"/>
  <c r="P2" i="20"/>
  <c r="P9" i="20"/>
  <c r="P6" i="21"/>
  <c r="P19" i="23"/>
  <c r="P13" i="24"/>
  <c r="P2" i="26"/>
  <c r="P3" i="26"/>
  <c r="P6" i="26"/>
  <c r="L55" i="6"/>
  <c r="L16" i="6"/>
  <c r="L12" i="6"/>
  <c r="L8" i="6"/>
  <c r="L4" i="6"/>
  <c r="L28" i="6"/>
  <c r="L33" i="6"/>
  <c r="L53" i="6"/>
  <c r="L58" i="6"/>
  <c r="L15" i="6"/>
  <c r="L11" i="6"/>
  <c r="L7" i="6"/>
  <c r="L3" i="6"/>
  <c r="L25" i="6"/>
  <c r="L26" i="6"/>
  <c r="L35" i="6"/>
  <c r="L40" i="6"/>
  <c r="L48" i="6"/>
  <c r="L65" i="6"/>
  <c r="L7" i="7"/>
  <c r="L4" i="7"/>
  <c r="L6" i="7"/>
  <c r="L11" i="7"/>
  <c r="C61" i="6"/>
  <c r="L61" i="6" s="1"/>
  <c r="C57" i="6"/>
  <c r="L57" i="6" s="1"/>
  <c r="C52" i="6"/>
  <c r="L52" i="6" s="1"/>
  <c r="C49" i="6"/>
  <c r="L49" i="6" s="1"/>
  <c r="C42" i="6"/>
  <c r="L42" i="6" s="1"/>
  <c r="C38" i="6"/>
  <c r="L38" i="6" s="1"/>
  <c r="C34" i="6"/>
  <c r="L34" i="6" s="1"/>
  <c r="C30" i="6"/>
  <c r="L30" i="6" s="1"/>
  <c r="P332" i="4"/>
  <c r="C20" i="6"/>
  <c r="L20" i="6" s="1"/>
  <c r="P309" i="4"/>
  <c r="P322" i="4"/>
  <c r="P342" i="4"/>
  <c r="P344" i="4"/>
  <c r="P335" i="4"/>
  <c r="P340" i="4"/>
  <c r="P346" i="4"/>
  <c r="P345" i="4"/>
  <c r="P341" i="4"/>
  <c r="P339" i="4"/>
  <c r="P338" i="4"/>
  <c r="P336" i="4"/>
  <c r="P343" i="4"/>
  <c r="P337" i="4"/>
  <c r="P334" i="4"/>
  <c r="P331" i="4"/>
  <c r="P333" i="4"/>
  <c r="P314" i="4"/>
  <c r="P313" i="4"/>
  <c r="P321" i="4"/>
  <c r="P304" i="4"/>
  <c r="P301" i="4"/>
  <c r="P291" i="4"/>
  <c r="P263" i="4"/>
  <c r="P296" i="4"/>
  <c r="P299" i="4"/>
  <c r="P319" i="4"/>
  <c r="P317" i="4"/>
  <c r="P316" i="4"/>
  <c r="P303" i="4"/>
  <c r="P300" i="4"/>
  <c r="P320" i="4"/>
  <c r="P318" i="4"/>
  <c r="P325" i="4"/>
  <c r="P324" i="4"/>
  <c r="P326" i="4"/>
  <c r="P327" i="4"/>
  <c r="P315" i="4"/>
  <c r="P323" i="4"/>
  <c r="P305" i="4"/>
  <c r="P295" i="4"/>
  <c r="P302" i="4"/>
  <c r="P292" i="4"/>
  <c r="P293" i="4"/>
  <c r="P297" i="4"/>
  <c r="P298" i="4"/>
  <c r="P286" i="4"/>
  <c r="P294" i="4"/>
  <c r="P307" i="4"/>
  <c r="P306" i="4"/>
  <c r="P308" i="4"/>
  <c r="P276" i="4"/>
  <c r="P285" i="4"/>
  <c r="P272" i="4"/>
  <c r="P274" i="4"/>
  <c r="P249" i="4"/>
  <c r="P258" i="4"/>
  <c r="P256" i="4"/>
  <c r="P273" i="4"/>
  <c r="P255" i="4"/>
  <c r="P266" i="4"/>
  <c r="P283" i="4"/>
  <c r="P281" i="4"/>
  <c r="P280" i="4"/>
  <c r="P287" i="4"/>
  <c r="P279" i="4"/>
  <c r="P254" i="4"/>
  <c r="P282" i="4"/>
  <c r="P275" i="4"/>
  <c r="P271" i="4"/>
  <c r="P277" i="4"/>
  <c r="P278" i="4"/>
  <c r="P284" i="4"/>
  <c r="P267" i="4"/>
  <c r="P265" i="4"/>
  <c r="P257" i="4"/>
  <c r="P259" i="4"/>
  <c r="P261" i="4"/>
  <c r="P262" i="4"/>
  <c r="P260" i="4"/>
  <c r="P239" i="4"/>
  <c r="P242" i="4"/>
  <c r="P253" i="4"/>
  <c r="P250" i="4"/>
  <c r="P251" i="4"/>
  <c r="P252" i="4"/>
  <c r="P264" i="4"/>
  <c r="P245" i="4"/>
  <c r="P244" i="4"/>
  <c r="P241" i="4"/>
  <c r="P237" i="4"/>
  <c r="P243" i="4"/>
  <c r="P234" i="4"/>
  <c r="P236" i="4"/>
  <c r="P232" i="4"/>
  <c r="P222" i="4"/>
  <c r="P235" i="4"/>
  <c r="P240" i="4"/>
  <c r="P233" i="4"/>
  <c r="P231" i="4"/>
  <c r="P238" i="4"/>
  <c r="P230" i="4"/>
  <c r="P219" i="4"/>
  <c r="P218" i="4"/>
  <c r="P221" i="4"/>
  <c r="P223" i="4"/>
  <c r="P217" i="4"/>
  <c r="P214" i="4"/>
  <c r="P225" i="4"/>
  <c r="P220" i="4"/>
  <c r="P213" i="4"/>
  <c r="P199" i="4"/>
  <c r="P204" i="4"/>
  <c r="P196" i="4"/>
  <c r="P206" i="4"/>
  <c r="P201" i="4"/>
  <c r="P212" i="4"/>
  <c r="P226" i="4"/>
  <c r="P210" i="4"/>
  <c r="P224" i="4"/>
  <c r="P215" i="4"/>
  <c r="P216" i="4"/>
  <c r="P211" i="4"/>
  <c r="P194" i="4"/>
  <c r="P197" i="4"/>
  <c r="P198" i="4"/>
  <c r="P189" i="4"/>
  <c r="P192" i="4"/>
  <c r="P178" i="4"/>
  <c r="P179" i="4"/>
  <c r="P188" i="4"/>
  <c r="P202" i="4"/>
  <c r="P186" i="4"/>
  <c r="P193" i="4"/>
  <c r="P190" i="4"/>
  <c r="P200" i="4"/>
  <c r="P205" i="4"/>
  <c r="P187" i="4"/>
  <c r="P203" i="4"/>
  <c r="P191" i="4"/>
  <c r="P195" i="4"/>
  <c r="P180" i="4"/>
  <c r="P175" i="4"/>
  <c r="P176" i="4"/>
  <c r="P171" i="4"/>
  <c r="P173" i="4"/>
  <c r="P145" i="4"/>
  <c r="P170" i="4"/>
  <c r="P177" i="4"/>
  <c r="P172" i="4"/>
  <c r="P182" i="4"/>
  <c r="P169" i="4"/>
  <c r="P167" i="4"/>
  <c r="P168" i="4"/>
  <c r="P166" i="4"/>
  <c r="P174" i="4"/>
  <c r="P181" i="4"/>
  <c r="P165" i="4"/>
  <c r="P149" i="4"/>
  <c r="P157" i="4"/>
  <c r="P140" i="4"/>
  <c r="P150" i="4"/>
  <c r="P148" i="4"/>
  <c r="P153" i="4"/>
  <c r="P146" i="4"/>
  <c r="P159" i="4"/>
  <c r="P127" i="4"/>
  <c r="P125" i="4"/>
  <c r="P141" i="4"/>
  <c r="P139" i="4"/>
  <c r="P133" i="4"/>
  <c r="P135" i="4"/>
  <c r="P130" i="4"/>
  <c r="P152" i="4"/>
  <c r="P156" i="4"/>
  <c r="P147" i="4"/>
  <c r="P160" i="4"/>
  <c r="P161" i="4"/>
  <c r="P155" i="4"/>
  <c r="P158" i="4"/>
  <c r="P151" i="4"/>
  <c r="P154" i="4"/>
  <c r="P132" i="4"/>
  <c r="P137" i="4"/>
  <c r="P136" i="4"/>
  <c r="P131" i="4"/>
  <c r="P138" i="4"/>
  <c r="P134" i="4"/>
  <c r="P126" i="4"/>
  <c r="P128" i="4"/>
  <c r="P129" i="4"/>
  <c r="P100" i="4"/>
  <c r="P97" i="4"/>
  <c r="P107" i="4"/>
  <c r="P117" i="4"/>
  <c r="P113" i="4"/>
  <c r="P121" i="4"/>
  <c r="P99" i="4"/>
  <c r="P106" i="4"/>
  <c r="P111" i="4"/>
  <c r="P114" i="4"/>
  <c r="P109" i="4"/>
  <c r="P110" i="4"/>
  <c r="P112" i="4"/>
  <c r="P108" i="4"/>
  <c r="P118" i="4"/>
  <c r="P116" i="4"/>
  <c r="P120" i="4"/>
  <c r="P15" i="4"/>
  <c r="P6" i="4"/>
  <c r="P12" i="4"/>
  <c r="P115" i="4"/>
  <c r="P119" i="4"/>
  <c r="P102" i="4"/>
  <c r="P95" i="4"/>
  <c r="P101" i="4"/>
  <c r="P92" i="4"/>
  <c r="P93" i="4"/>
  <c r="P86" i="4"/>
  <c r="P84" i="4"/>
  <c r="P96" i="4"/>
  <c r="P88" i="4"/>
  <c r="P89" i="4"/>
  <c r="P98" i="4"/>
  <c r="P85" i="4"/>
  <c r="P87" i="4"/>
  <c r="P90" i="4"/>
  <c r="P91" i="4"/>
  <c r="P94" i="4"/>
  <c r="P68" i="4"/>
  <c r="P69" i="4"/>
  <c r="P79" i="4"/>
  <c r="P77" i="4"/>
  <c r="P73" i="4"/>
  <c r="P76" i="4"/>
  <c r="P75" i="4"/>
  <c r="P71" i="4"/>
  <c r="P65" i="4"/>
  <c r="P67" i="4"/>
  <c r="P74" i="4"/>
  <c r="P66" i="4"/>
  <c r="P72" i="4"/>
  <c r="P80" i="4"/>
  <c r="P78" i="4"/>
  <c r="P70" i="4"/>
  <c r="P9" i="4"/>
  <c r="P3" i="4"/>
  <c r="P8" i="4"/>
  <c r="P13" i="4"/>
  <c r="P19" i="4"/>
  <c r="P10" i="4"/>
  <c r="P14" i="4"/>
  <c r="P7" i="4"/>
  <c r="P47" i="4"/>
  <c r="P61" i="4"/>
  <c r="P57" i="4"/>
  <c r="P55" i="4"/>
  <c r="P60" i="4"/>
  <c r="P52" i="4"/>
  <c r="P56" i="4"/>
  <c r="P58" i="4"/>
  <c r="P51" i="4"/>
  <c r="P59" i="4"/>
  <c r="P54" i="4"/>
  <c r="P53" i="4"/>
  <c r="P50" i="4"/>
  <c r="P46" i="4"/>
  <c r="P48" i="4"/>
  <c r="P49" i="4"/>
  <c r="P5" i="4"/>
  <c r="P42" i="4"/>
  <c r="P41" i="4"/>
  <c r="P39" i="4"/>
  <c r="P33" i="4"/>
  <c r="P32" i="4"/>
  <c r="P40" i="4"/>
  <c r="P36" i="4"/>
  <c r="P29" i="4"/>
  <c r="P24" i="4"/>
  <c r="P28" i="4"/>
  <c r="P26" i="4"/>
  <c r="P31" i="4"/>
  <c r="P37" i="4"/>
  <c r="P30" i="4"/>
  <c r="P35" i="4"/>
  <c r="P25" i="4"/>
  <c r="P20" i="4"/>
  <c r="P11" i="4"/>
  <c r="P18" i="4"/>
  <c r="P4" i="4"/>
  <c r="P16" i="4"/>
  <c r="P17" i="4"/>
  <c r="P27" i="4"/>
  <c r="P38" i="4"/>
  <c r="P34" i="4"/>
  <c r="B2" i="1"/>
  <c r="B21" i="1"/>
  <c r="B15" i="1"/>
  <c r="B12" i="1"/>
  <c r="B6" i="1"/>
  <c r="B5" i="1"/>
  <c r="B20" i="1"/>
  <c r="B16" i="1"/>
  <c r="B14" i="1"/>
  <c r="B8" i="1"/>
  <c r="B4" i="1"/>
  <c r="B10" i="1"/>
  <c r="B11" i="1"/>
  <c r="B19" i="1"/>
  <c r="B9" i="1"/>
  <c r="B3" i="1"/>
  <c r="B18" i="1"/>
  <c r="B13" i="1"/>
  <c r="B1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98CF9-3363-4221-B88E-F9F82D9E62D6}" keepAlive="1" name="Query - ARS" description="Connection to the 'ARS' query in the workbook." type="5" refreshedVersion="0" background="1">
    <dbPr connection="Provider=Microsoft.Mashup.OleDb.1;Data Source=$Workbook$;Location=ARS;Extended Properties=&quot;&quot;" command="SELECT * FROM [ARS]"/>
  </connection>
  <connection id="2" xr16:uid="{AB5AC246-BE4A-4C80-A491-0093C411A152}" keepAlive="1" name="Query - AVL" description="Connection to the 'AVL' query in the workbook." type="5" refreshedVersion="0" background="1">
    <dbPr connection="Provider=Microsoft.Mashup.OleDb.1;Data Source=$Workbook$;Location=AVL;Extended Properties=&quot;&quot;" command="SELECT * FROM [AVL]"/>
  </connection>
  <connection id="3" xr16:uid="{64A99312-1FBA-476F-B84D-FCF992229E33}" keepAlive="1" name="Query - BHA" description="Connection to the 'BHA' query in the workbook." type="5" refreshedVersion="0" background="1">
    <dbPr connection="Provider=Microsoft.Mashup.OleDb.1;Data Source=$Workbook$;Location=BHA;Extended Properties=&quot;&quot;" command="SELECT * FROM [BHA]"/>
  </connection>
  <connection id="4" xr16:uid="{945DA75B-1B7E-417E-ADE8-555DE1CD1A29}" keepAlive="1" name="Query - BOU" description="Connection to the 'BOU' query in the workbook." type="5" refreshedVersion="0" background="1">
    <dbPr connection="Provider=Microsoft.Mashup.OleDb.1;Data Source=$Workbook$;Location=BOU;Extended Properties=&quot;&quot;" command="SELECT * FROM [BOU]"/>
  </connection>
  <connection id="5" xr16:uid="{A691C7DC-0530-4FFE-9EA5-1549CD42015E}" keepAlive="1" name="Query - BRE" description="Connection to the 'BRE' query in the workbook." type="5" refreshedVersion="0" background="1">
    <dbPr connection="Provider=Microsoft.Mashup.OleDb.1;Data Source=$Workbook$;Location=BRE;Extended Properties=&quot;&quot;" command="SELECT * FROM [BRE]"/>
  </connection>
  <connection id="6" xr16:uid="{F3485DB8-B9BC-46E8-93C2-7958DFB88D4A}" keepAlive="1" name="Query - CHE" description="Connection to the 'CHE' query in the workbook." type="5" refreshedVersion="0" background="1">
    <dbPr connection="Provider=Microsoft.Mashup.OleDb.1;Data Source=$Workbook$;Location=CHE;Extended Properties=&quot;&quot;" command="SELECT * FROM [CHE]"/>
  </connection>
  <connection id="7" xr16:uid="{3F229453-B503-4527-84D6-90CF845A8A23}" keepAlive="1" name="Query - CRY" description="Connection to the 'CRY' query in the workbook." type="5" refreshedVersion="0" background="1">
    <dbPr connection="Provider=Microsoft.Mashup.OleDb.1;Data Source=$Workbook$;Location=CRY;Extended Properties=&quot;&quot;" command="SELECT * FROM [CRY]"/>
  </connection>
  <connection id="8" xr16:uid="{508F9635-4FEF-482F-AB94-951372C15DA9}" keepAlive="1" name="Query - EVE" description="Connection to the 'EVE' query in the workbook." type="5" refreshedVersion="0" background="1">
    <dbPr connection="Provider=Microsoft.Mashup.OleDb.1;Data Source=$Workbook$;Location=EVE;Extended Properties=&quot;&quot;" command="SELECT * FROM [EVE]"/>
  </connection>
  <connection id="9" xr16:uid="{9078B378-695D-44C7-BE2B-B30E6EACB702}" keepAlive="1" name="Query - FOR" description="Connection to the 'FOR' query in the workbook." type="5" refreshedVersion="0" background="1">
    <dbPr connection="Provider=Microsoft.Mashup.OleDb.1;Data Source=$Workbook$;Location=FOR;Extended Properties=&quot;&quot;" command="SELECT * FROM [FOR]"/>
  </connection>
  <connection id="10" xr16:uid="{0C85F899-03BE-49B3-9FBD-AEDDD3580FCB}" keepAlive="1" name="Query - FUL" description="Connection to the 'FUL' query in the workbook." type="5" refreshedVersion="0" background="1">
    <dbPr connection="Provider=Microsoft.Mashup.OleDb.1;Data Source=$Workbook$;Location=FUL;Extended Properties=&quot;&quot;" command="SELECT * FROM [FUL]"/>
  </connection>
  <connection id="11" xr16:uid="{26317BF3-264A-47BC-9B79-03C607ED9607}" keepAlive="1" name="Query - LEE" description="Connection to the 'LEE' query in the workbook." type="5" refreshedVersion="0" background="1">
    <dbPr connection="Provider=Microsoft.Mashup.OleDb.1;Data Source=$Workbook$;Location=LEE;Extended Properties=&quot;&quot;" command="SELECT * FROM [LEE]"/>
  </connection>
  <connection id="12" xr16:uid="{AD277E7B-C688-4435-95D9-B4D51194AB88}" keepAlive="1" name="Query - LEI" description="Connection to the 'LEI' query in the workbook." type="5" refreshedVersion="0" background="1">
    <dbPr connection="Provider=Microsoft.Mashup.OleDb.1;Data Source=$Workbook$;Location=LEI;Extended Properties=&quot;&quot;" command="SELECT * FROM [LEI]"/>
  </connection>
  <connection id="13" xr16:uid="{C852BC1F-0D08-41C3-8E9E-24AFE0135593}" keepAlive="1" name="Query - LIV" description="Connection to the 'LIV' query in the workbook." type="5" refreshedVersion="0" background="1">
    <dbPr connection="Provider=Microsoft.Mashup.OleDb.1;Data Source=$Workbook$;Location=LIV;Extended Properties=&quot;&quot;" command="SELECT * FROM [LIV]"/>
  </connection>
  <connection id="14" xr16:uid="{7FF5AD69-6846-4B24-80AC-B189AFEE65D5}" keepAlive="1" name="Query - MCI" description="Connection to the 'MCI' query in the workbook." type="5" refreshedVersion="0" background="1">
    <dbPr connection="Provider=Microsoft.Mashup.OleDb.1;Data Source=$Workbook$;Location=MCI;Extended Properties=&quot;&quot;" command="SELECT * FROM [MCI]"/>
  </connection>
  <connection id="15" xr16:uid="{DF992030-EAEC-492E-827B-A3978B09E7BA}" keepAlive="1" name="Query - MUN" description="Connection to the 'MUN' query in the workbook." type="5" refreshedVersion="0" background="1">
    <dbPr connection="Provider=Microsoft.Mashup.OleDb.1;Data Source=$Workbook$;Location=MUN;Extended Properties=&quot;&quot;" command="SELECT * FROM [MUN]"/>
  </connection>
  <connection id="16" xr16:uid="{9EFAC834-C85D-49BA-BDF6-DC500E44ABB9}" keepAlive="1" name="Query - NEW" description="Connection to the 'NEW' query in the workbook." type="5" refreshedVersion="0" background="1">
    <dbPr connection="Provider=Microsoft.Mashup.OleDb.1;Data Source=$Workbook$;Location=NEW;Extended Properties=&quot;&quot;" command="SELECT * FROM [NEW]"/>
  </connection>
  <connection id="17" xr16:uid="{8E80EAD1-0D6E-4BE5-AFDA-CEFEEA562711}" keepAlive="1" name="Query - NewTransfers2" description="Connection to the 'NewTransfers2' query in the workbook." type="5" refreshedVersion="0" background="1">
    <dbPr connection="Provider=Microsoft.Mashup.OleDb.1;Data Source=$Workbook$;Location=NewTransfers2;Extended Properties=&quot;&quot;" command="SELECT * FROM [NewTransfers2]"/>
  </connection>
  <connection id="18" xr16:uid="{93BDCB2E-D529-4379-8609-A13520B01B52}" keepAlive="1" name="Query - SOU" description="Connection to the 'SOU' query in the workbook." type="5" refreshedVersion="0" background="1">
    <dbPr connection="Provider=Microsoft.Mashup.OleDb.1;Data Source=$Workbook$;Location=SOU;Extended Properties=&quot;&quot;" command="SELECT * FROM [SOU]"/>
  </connection>
  <connection id="19" xr16:uid="{63AF3400-247D-4AD9-B6D6-FF4D45A928C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0" xr16:uid="{B4BDE512-613F-42F9-B02D-9F78E2E7DE5D}" keepAlive="1" name="Query - TOT" description="Connection to the 'TOT' query in the workbook." type="5" refreshedVersion="0" background="1">
    <dbPr connection="Provider=Microsoft.Mashup.OleDb.1;Data Source=$Workbook$;Location=TOT;Extended Properties=&quot;&quot;" command="SELECT * FROM [TOT]"/>
  </connection>
  <connection id="21" xr16:uid="{0551B0FF-E00A-44FE-8E06-432EE4195500}" keepAlive="1" name="Query - WHU" description="Connection to the 'WHU' query in the workbook." type="5" refreshedVersion="0" background="1">
    <dbPr connection="Provider=Microsoft.Mashup.OleDb.1;Data Source=$Workbook$;Location=WHU;Extended Properties=&quot;&quot;" command="SELECT * FROM [WHU]"/>
  </connection>
  <connection id="22" xr16:uid="{88CB50B1-FD6C-46D9-8C97-1F74D47D380A}" keepAlive="1" name="Query - WOL" description="Connection to the 'WOL' query in the workbook." type="5" refreshedVersion="0" background="1">
    <dbPr connection="Provider=Microsoft.Mashup.OleDb.1;Data Source=$Workbook$;Location=WOL;Extended Properties=&quot;&quot;" command="SELECT * FROM [WOL]"/>
  </connection>
</connections>
</file>

<file path=xl/sharedStrings.xml><?xml version="1.0" encoding="utf-8"?>
<sst xmlns="http://schemas.openxmlformats.org/spreadsheetml/2006/main" count="3780" uniqueCount="540">
  <si>
    <t>Team</t>
  </si>
  <si>
    <t>Attacking Quality</t>
  </si>
  <si>
    <t>Defensive Quality</t>
  </si>
  <si>
    <t>Goals Last Season</t>
  </si>
  <si>
    <t>Goals This Season</t>
  </si>
  <si>
    <t>GW</t>
  </si>
  <si>
    <t>Promoted</t>
  </si>
  <si>
    <t>MCI</t>
  </si>
  <si>
    <t>LIV</t>
  </si>
  <si>
    <t>CHE</t>
  </si>
  <si>
    <t>TOT</t>
  </si>
  <si>
    <t>ARS</t>
  </si>
  <si>
    <t>MUN</t>
  </si>
  <si>
    <t>WHU</t>
  </si>
  <si>
    <t>LEI</t>
  </si>
  <si>
    <t>WOL</t>
  </si>
  <si>
    <t>NEW</t>
  </si>
  <si>
    <t>CRY</t>
  </si>
  <si>
    <t>BRE</t>
  </si>
  <si>
    <t>AVL</t>
  </si>
  <si>
    <t>SOU</t>
  </si>
  <si>
    <t>EVE</t>
  </si>
  <si>
    <t>LEE</t>
  </si>
  <si>
    <t>FUL</t>
  </si>
  <si>
    <t>BOU</t>
  </si>
  <si>
    <t>Y</t>
  </si>
  <si>
    <t>N</t>
  </si>
  <si>
    <t>Goals Conceded Last Season</t>
  </si>
  <si>
    <t>Goals Conceded This Season</t>
  </si>
  <si>
    <t>Current GW:</t>
  </si>
  <si>
    <t>Raw Attack</t>
  </si>
  <si>
    <t>GF Before</t>
  </si>
  <si>
    <t>GF After</t>
  </si>
  <si>
    <t>GF Change</t>
  </si>
  <si>
    <t>GA After</t>
  </si>
  <si>
    <t>GA Before</t>
  </si>
  <si>
    <t>GA Change</t>
  </si>
  <si>
    <t>Norwich 21</t>
  </si>
  <si>
    <t>Watford 21</t>
  </si>
  <si>
    <t>Brentford 21</t>
  </si>
  <si>
    <t>Fulham 20</t>
  </si>
  <si>
    <t>WBA 20</t>
  </si>
  <si>
    <t>Leeds 20</t>
  </si>
  <si>
    <t>Villa 19</t>
  </si>
  <si>
    <t>Norwich 19</t>
  </si>
  <si>
    <t>Sheffield 19</t>
  </si>
  <si>
    <t>Cardiff 18</t>
  </si>
  <si>
    <t>Fulham 18</t>
  </si>
  <si>
    <t>Wolves 18</t>
  </si>
  <si>
    <t>AVERAGE</t>
  </si>
  <si>
    <t>Raw Defence</t>
  </si>
  <si>
    <t>FOR</t>
  </si>
  <si>
    <t>Player</t>
  </si>
  <si>
    <t>Quality</t>
  </si>
  <si>
    <t>Regularity</t>
  </si>
  <si>
    <t>xGp90 Last Season</t>
  </si>
  <si>
    <t>xAp90 Last Season</t>
  </si>
  <si>
    <t>xGp90 This Season</t>
  </si>
  <si>
    <t>xAp90 This Season</t>
  </si>
  <si>
    <t>xPoints Av.</t>
  </si>
  <si>
    <t>Arsenal</t>
  </si>
  <si>
    <t>Ramsdale</t>
  </si>
  <si>
    <t>GKP</t>
  </si>
  <si>
    <t>Gabriel</t>
  </si>
  <si>
    <t>DEF</t>
  </si>
  <si>
    <t>CSp90 Last Season</t>
  </si>
  <si>
    <t>CSp90 This Season</t>
  </si>
  <si>
    <t>Price</t>
  </si>
  <si>
    <t>White</t>
  </si>
  <si>
    <t>Tierney</t>
  </si>
  <si>
    <t>Tomiyasu</t>
  </si>
  <si>
    <t>Tavares</t>
  </si>
  <si>
    <t>Cedric</t>
  </si>
  <si>
    <t>Holding</t>
  </si>
  <si>
    <t>Saka</t>
  </si>
  <si>
    <t>MID</t>
  </si>
  <si>
    <t>Odegaard</t>
  </si>
  <si>
    <t>Smith Rowe</t>
  </si>
  <si>
    <t>Martinelli</t>
  </si>
  <si>
    <t>Partey</t>
  </si>
  <si>
    <t>Xhaka</t>
  </si>
  <si>
    <t>Sambi Lokonga</t>
  </si>
  <si>
    <t>Elneny</t>
  </si>
  <si>
    <t>Pepe</t>
  </si>
  <si>
    <t>FWD</t>
  </si>
  <si>
    <t>Nketiah</t>
  </si>
  <si>
    <t>Pos.</t>
  </si>
  <si>
    <t>60+Mins This Season</t>
  </si>
  <si>
    <t>60+Mins Last Season</t>
  </si>
  <si>
    <t>Possible 60+Mins Last Season</t>
  </si>
  <si>
    <t>Possible 60+Mins This Season</t>
  </si>
  <si>
    <t>Aston Villa</t>
  </si>
  <si>
    <t>Martinez</t>
  </si>
  <si>
    <t>Cash</t>
  </si>
  <si>
    <t>Mings</t>
  </si>
  <si>
    <t>Digne</t>
  </si>
  <si>
    <t>Konsa</t>
  </si>
  <si>
    <t>Young</t>
  </si>
  <si>
    <t>Chambers</t>
  </si>
  <si>
    <t>Hause</t>
  </si>
  <si>
    <t>McGinn</t>
  </si>
  <si>
    <t>Ramsey</t>
  </si>
  <si>
    <t>Buendia</t>
  </si>
  <si>
    <t>Douglas Luiz</t>
  </si>
  <si>
    <t>Coutinho</t>
  </si>
  <si>
    <t>Bailey</t>
  </si>
  <si>
    <t>Nakamba</t>
  </si>
  <si>
    <t>Chukwuemeka</t>
  </si>
  <si>
    <t>Traore</t>
  </si>
  <si>
    <t>Watkins</t>
  </si>
  <si>
    <t>Ings</t>
  </si>
  <si>
    <t>Brentford</t>
  </si>
  <si>
    <t>Raya</t>
  </si>
  <si>
    <t>Jansson</t>
  </si>
  <si>
    <t>Henry</t>
  </si>
  <si>
    <t>Pinnock</t>
  </si>
  <si>
    <t>Ajer</t>
  </si>
  <si>
    <t>Roerslev</t>
  </si>
  <si>
    <t>Mbeumo</t>
  </si>
  <si>
    <t>Norgaard</t>
  </si>
  <si>
    <t>Wissa</t>
  </si>
  <si>
    <t>Janelt</t>
  </si>
  <si>
    <t>Eriksen</t>
  </si>
  <si>
    <t>Onyeka</t>
  </si>
  <si>
    <t>Canos</t>
  </si>
  <si>
    <t>Jensen</t>
  </si>
  <si>
    <t>Baptiste</t>
  </si>
  <si>
    <t>Toney</t>
  </si>
  <si>
    <t>Brighton</t>
  </si>
  <si>
    <t>BHA</t>
  </si>
  <si>
    <t>Sanchez</t>
  </si>
  <si>
    <t>Cucurella</t>
  </si>
  <si>
    <t>Veltman</t>
  </si>
  <si>
    <t>Dunk</t>
  </si>
  <si>
    <t>Lamptey</t>
  </si>
  <si>
    <t>Webster</t>
  </si>
  <si>
    <t>Duffy</t>
  </si>
  <si>
    <t>Trossard</t>
  </si>
  <si>
    <t>Mac Allister</t>
  </si>
  <si>
    <t>Gross</t>
  </si>
  <si>
    <t>Bissouma</t>
  </si>
  <si>
    <t>March</t>
  </si>
  <si>
    <t>Mwepu</t>
  </si>
  <si>
    <t>Moder</t>
  </si>
  <si>
    <t>Maupay</t>
  </si>
  <si>
    <t>Welbeck</t>
  </si>
  <si>
    <t>Chelsea</t>
  </si>
  <si>
    <t>Mendy</t>
  </si>
  <si>
    <t>James</t>
  </si>
  <si>
    <t>Silva</t>
  </si>
  <si>
    <t>Alonso</t>
  </si>
  <si>
    <t>Chalobah</t>
  </si>
  <si>
    <t>Azpilicueta</t>
  </si>
  <si>
    <t>Christensen</t>
  </si>
  <si>
    <t>Chillwell</t>
  </si>
  <si>
    <t>Mount</t>
  </si>
  <si>
    <t>Havertz</t>
  </si>
  <si>
    <t>OPP</t>
  </si>
  <si>
    <t>Pts</t>
  </si>
  <si>
    <t>MP</t>
  </si>
  <si>
    <t>GS</t>
  </si>
  <si>
    <t>A</t>
  </si>
  <si>
    <t>CS</t>
  </si>
  <si>
    <t>GC</t>
  </si>
  <si>
    <t>OG</t>
  </si>
  <si>
    <t>PS</t>
  </si>
  <si>
    <t>PM</t>
  </si>
  <si>
    <t>YC</t>
  </si>
  <si>
    <t>RC</t>
  </si>
  <si>
    <t>S</t>
  </si>
  <si>
    <t>B</t>
  </si>
  <si>
    <t>BPS</t>
  </si>
  <si>
    <t>I</t>
  </si>
  <si>
    <t>C</t>
  </si>
  <si>
    <t>T</t>
  </si>
  <si>
    <t>II</t>
  </si>
  <si>
    <t>NT</t>
  </si>
  <si>
    <t>SB</t>
  </si>
  <si>
    <t>£</t>
  </si>
  <si>
    <t>Totals</t>
  </si>
  <si>
    <t>Jorginho</t>
  </si>
  <si>
    <t>CSp90</t>
  </si>
  <si>
    <t>60+</t>
  </si>
  <si>
    <t>Kante</t>
  </si>
  <si>
    <t>Ziyech</t>
  </si>
  <si>
    <t>Pulisic</t>
  </si>
  <si>
    <t>Kovacic</t>
  </si>
  <si>
    <t>Loftus-Cheek</t>
  </si>
  <si>
    <t>Hudson-Odoi</t>
  </si>
  <si>
    <t>Lukaku</t>
  </si>
  <si>
    <t>Werner</t>
  </si>
  <si>
    <t>Crystal Palace</t>
  </si>
  <si>
    <t>Guaita</t>
  </si>
  <si>
    <t>Andersen</t>
  </si>
  <si>
    <t>Guehi</t>
  </si>
  <si>
    <t>Mitchell</t>
  </si>
  <si>
    <t>Kouyate</t>
  </si>
  <si>
    <t>Ward</t>
  </si>
  <si>
    <t>Clyne</t>
  </si>
  <si>
    <t>Zaha</t>
  </si>
  <si>
    <t>Gallagher</t>
  </si>
  <si>
    <t>Schlupp</t>
  </si>
  <si>
    <t>Olise</t>
  </si>
  <si>
    <t>McArthur</t>
  </si>
  <si>
    <t>Edouard</t>
  </si>
  <si>
    <t>Ayew</t>
  </si>
  <si>
    <t>Mateta</t>
  </si>
  <si>
    <t>Benteke</t>
  </si>
  <si>
    <t>Everton</t>
  </si>
  <si>
    <t>Pickford</t>
  </si>
  <si>
    <t>Keane</t>
  </si>
  <si>
    <t>Coleman</t>
  </si>
  <si>
    <t>Holgate</t>
  </si>
  <si>
    <t>Godfrey</t>
  </si>
  <si>
    <t>Mykolenko</t>
  </si>
  <si>
    <t>Mina</t>
  </si>
  <si>
    <t>Gray</t>
  </si>
  <si>
    <t>Gordon</t>
  </si>
  <si>
    <t>Doucoure</t>
  </si>
  <si>
    <t>Iwobi</t>
  </si>
  <si>
    <t>Townsend</t>
  </si>
  <si>
    <t>Allan</t>
  </si>
  <si>
    <t>Dele</t>
  </si>
  <si>
    <t>Richarlison</t>
  </si>
  <si>
    <t>Calvert-Lewin</t>
  </si>
  <si>
    <t>Rondon</t>
  </si>
  <si>
    <t>Leeds</t>
  </si>
  <si>
    <t>Meslier</t>
  </si>
  <si>
    <t>LEI (A) 1 - 0</t>
  </si>
  <si>
    <t>ARS (A) 2 - 1</t>
  </si>
  <si>
    <t>BRE (A) 1 - 2</t>
  </si>
  <si>
    <t>Llorente</t>
  </si>
  <si>
    <t>Cooper</t>
  </si>
  <si>
    <t>Ayling</t>
  </si>
  <si>
    <t>Struijk</t>
  </si>
  <si>
    <t>Koch</t>
  </si>
  <si>
    <t>Firpo</t>
  </si>
  <si>
    <t>Raphinha</t>
  </si>
  <si>
    <t>Harrison</t>
  </si>
  <si>
    <t>Dallas</t>
  </si>
  <si>
    <t>Klich</t>
  </si>
  <si>
    <t>Phillips</t>
  </si>
  <si>
    <t>Forshaw</t>
  </si>
  <si>
    <t>Rodrigo</t>
  </si>
  <si>
    <t>Gelhardt</t>
  </si>
  <si>
    <t>Bamford</t>
  </si>
  <si>
    <t>Leicester</t>
  </si>
  <si>
    <t>Schmeichel</t>
  </si>
  <si>
    <t>LEE (A) 1 - 1</t>
  </si>
  <si>
    <t>Castagne</t>
  </si>
  <si>
    <t>Soyuncu</t>
  </si>
  <si>
    <t>Amartey</t>
  </si>
  <si>
    <t>Thomas</t>
  </si>
  <si>
    <t>Evans</t>
  </si>
  <si>
    <t>Pereira</t>
  </si>
  <si>
    <t>Maddison</t>
  </si>
  <si>
    <t>Barnes</t>
  </si>
  <si>
    <t>Tielemans</t>
  </si>
  <si>
    <t>Lookman</t>
  </si>
  <si>
    <t>Dewsbury-Hall</t>
  </si>
  <si>
    <t>Ndidi</t>
  </si>
  <si>
    <t>Albrighton</t>
  </si>
  <si>
    <t>Soumare</t>
  </si>
  <si>
    <t>Vardy</t>
  </si>
  <si>
    <t>Iheanacho</t>
  </si>
  <si>
    <t>Daka</t>
  </si>
  <si>
    <t>Liverpool</t>
  </si>
  <si>
    <t>Alisson</t>
  </si>
  <si>
    <t>CHE (A) 2 - 2</t>
  </si>
  <si>
    <t>WHU (H) 1 - 0</t>
  </si>
  <si>
    <t>Alexander-Arnold</t>
  </si>
  <si>
    <t>Robertson</t>
  </si>
  <si>
    <t>van Dijk</t>
  </si>
  <si>
    <t>Matip</t>
  </si>
  <si>
    <t>Tsimikas</t>
  </si>
  <si>
    <t>Konate</t>
  </si>
  <si>
    <t>Salah</t>
  </si>
  <si>
    <t>Mane</t>
  </si>
  <si>
    <t>Jota</t>
  </si>
  <si>
    <t>Henderson</t>
  </si>
  <si>
    <t>Fabinho</t>
  </si>
  <si>
    <t>Thiago</t>
  </si>
  <si>
    <t>Keita</t>
  </si>
  <si>
    <t>Diaz</t>
  </si>
  <si>
    <t>Oxlade-Chamberlain</t>
  </si>
  <si>
    <t>Jones</t>
  </si>
  <si>
    <t>Milner</t>
  </si>
  <si>
    <t>Minamino</t>
  </si>
  <si>
    <t>Elliott</t>
  </si>
  <si>
    <t>Firmino</t>
  </si>
  <si>
    <t>Man City</t>
  </si>
  <si>
    <t>Ederson</t>
  </si>
  <si>
    <t>CRY (H) 0 - 2</t>
  </si>
  <si>
    <t>EVE (A) 0 - 1</t>
  </si>
  <si>
    <t>Cancelo</t>
  </si>
  <si>
    <t>Laporte</t>
  </si>
  <si>
    <t>Dias</t>
  </si>
  <si>
    <t>Walker</t>
  </si>
  <si>
    <t>Stones</t>
  </si>
  <si>
    <t>Zinchenko</t>
  </si>
  <si>
    <t>Ake</t>
  </si>
  <si>
    <t>De Bruyne</t>
  </si>
  <si>
    <t>Sterling</t>
  </si>
  <si>
    <t>Bernardo</t>
  </si>
  <si>
    <t>Foden</t>
  </si>
  <si>
    <t>Mahrez</t>
  </si>
  <si>
    <t>Rodri</t>
  </si>
  <si>
    <t>Gundogan</t>
  </si>
  <si>
    <t>Grealish</t>
  </si>
  <si>
    <t>Jesus</t>
  </si>
  <si>
    <t>Man Utd</t>
  </si>
  <si>
    <t>de Gea</t>
  </si>
  <si>
    <t>Varane</t>
  </si>
  <si>
    <t>Maguire</t>
  </si>
  <si>
    <t>Telles</t>
  </si>
  <si>
    <t>Lindelof</t>
  </si>
  <si>
    <t>Dalot</t>
  </si>
  <si>
    <t>Shaw</t>
  </si>
  <si>
    <t>Wan-Bissaka</t>
  </si>
  <si>
    <t>Fernandes</t>
  </si>
  <si>
    <t>Fred</t>
  </si>
  <si>
    <t>Sancho</t>
  </si>
  <si>
    <t>McTominay</t>
  </si>
  <si>
    <t>Rashford</t>
  </si>
  <si>
    <t>Elanga</t>
  </si>
  <si>
    <t>Matic</t>
  </si>
  <si>
    <t>Ronaldo</t>
  </si>
  <si>
    <t>Newcastle</t>
  </si>
  <si>
    <t>Dubravka</t>
  </si>
  <si>
    <t>NOR (H) 1 - 1</t>
  </si>
  <si>
    <t>LIV (A) 3 - 1</t>
  </si>
  <si>
    <t>LEI (H) 2 - 1</t>
  </si>
  <si>
    <t>LIV (H) 0 - 1</t>
  </si>
  <si>
    <t>Targett</t>
  </si>
  <si>
    <t>MUN (A) 0 - 1</t>
  </si>
  <si>
    <t>Burn</t>
  </si>
  <si>
    <t>NOR (A) 0 - 0</t>
  </si>
  <si>
    <t>Schar</t>
  </si>
  <si>
    <t>Krafth</t>
  </si>
  <si>
    <t>Lascelles</t>
  </si>
  <si>
    <t>Manquillo</t>
  </si>
  <si>
    <t>Trippier</t>
  </si>
  <si>
    <t>Willock</t>
  </si>
  <si>
    <t>Fraser</t>
  </si>
  <si>
    <t>Guimaraes</t>
  </si>
  <si>
    <t>Shelvey</t>
  </si>
  <si>
    <t>Murphy</t>
  </si>
  <si>
    <t>Almiron</t>
  </si>
  <si>
    <t>Longstaff</t>
  </si>
  <si>
    <t>Saint-Maximan</t>
  </si>
  <si>
    <t>Wood</t>
  </si>
  <si>
    <t>ARS (H) 0 - 1</t>
  </si>
  <si>
    <t>NEW (A) 1 - 0</t>
  </si>
  <si>
    <t>Joelinton</t>
  </si>
  <si>
    <t>Wilson</t>
  </si>
  <si>
    <t>Southampton</t>
  </si>
  <si>
    <t>Forster</t>
  </si>
  <si>
    <t>McCarthy</t>
  </si>
  <si>
    <t>Bednarek</t>
  </si>
  <si>
    <t>Walker-Peters</t>
  </si>
  <si>
    <t>Livramento</t>
  </si>
  <si>
    <t>Salisu</t>
  </si>
  <si>
    <t>Perraud</t>
  </si>
  <si>
    <t>Ward-Prowse</t>
  </si>
  <si>
    <t>Elyounoussi</t>
  </si>
  <si>
    <t>Romeu</t>
  </si>
  <si>
    <t>Redmond</t>
  </si>
  <si>
    <t>S. Armstrong</t>
  </si>
  <si>
    <t>Diallo</t>
  </si>
  <si>
    <t>Adams</t>
  </si>
  <si>
    <t>Broja</t>
  </si>
  <si>
    <t>A. Armstrong</t>
  </si>
  <si>
    <t>Lyanco</t>
  </si>
  <si>
    <t>Tottenham</t>
  </si>
  <si>
    <t>Lloris</t>
  </si>
  <si>
    <t>AVL (H) 2 - 1</t>
  </si>
  <si>
    <t>WHU (A) 1 - 0</t>
  </si>
  <si>
    <t>BUR (A) 1 - 0</t>
  </si>
  <si>
    <t>Dier</t>
  </si>
  <si>
    <t>Davies</t>
  </si>
  <si>
    <t>Reguilon</t>
  </si>
  <si>
    <t>Emerson</t>
  </si>
  <si>
    <t>Doherty</t>
  </si>
  <si>
    <t>Romero</t>
  </si>
  <si>
    <t>Sessegnon</t>
  </si>
  <si>
    <t>Tanganga</t>
  </si>
  <si>
    <t>Son</t>
  </si>
  <si>
    <t>Hojbjerg</t>
  </si>
  <si>
    <t>Kulusevski</t>
  </si>
  <si>
    <t>Moura</t>
  </si>
  <si>
    <t>Bergwijn</t>
  </si>
  <si>
    <t>Bentancur</t>
  </si>
  <si>
    <t>Skipp</t>
  </si>
  <si>
    <t>Winks</t>
  </si>
  <si>
    <t>Kane</t>
  </si>
  <si>
    <t>West Ham</t>
  </si>
  <si>
    <t>Fabianski</t>
  </si>
  <si>
    <t>LEE (H) 2 - 3</t>
  </si>
  <si>
    <t>EVE (H) 2 - 1</t>
  </si>
  <si>
    <t>Cresswell</t>
  </si>
  <si>
    <t>Dawson</t>
  </si>
  <si>
    <t>Coufal</t>
  </si>
  <si>
    <t>Zouma</t>
  </si>
  <si>
    <t>Johnson</t>
  </si>
  <si>
    <t>Ogbonna</t>
  </si>
  <si>
    <t>Bowen</t>
  </si>
  <si>
    <t>Benrahma</t>
  </si>
  <si>
    <t>Fornals</t>
  </si>
  <si>
    <t>Soucek</t>
  </si>
  <si>
    <t>Rice</t>
  </si>
  <si>
    <t>Lanzini</t>
  </si>
  <si>
    <t>Vlasic</t>
  </si>
  <si>
    <t>Antonio</t>
  </si>
  <si>
    <t>Wolves</t>
  </si>
  <si>
    <t>Sa</t>
  </si>
  <si>
    <t>TOT (H) 0 - 1</t>
  </si>
  <si>
    <t>MUN (H) 0 - 1</t>
  </si>
  <si>
    <t>WAT (A) 0 - 2</t>
  </si>
  <si>
    <t>BRE (H) 0 - 2</t>
  </si>
  <si>
    <t>SOU (A) 0 - 1</t>
  </si>
  <si>
    <t>NEW (H) 2 - 1</t>
  </si>
  <si>
    <t>AVL (A) 2 - 3</t>
  </si>
  <si>
    <t>CRY (A) 2 - 0</t>
  </si>
  <si>
    <t>BUR (H) 0 - 0</t>
  </si>
  <si>
    <t>MCI (A) 1 - 0</t>
  </si>
  <si>
    <t>BHA (A) 0 - 1</t>
  </si>
  <si>
    <t>CHE (H) 0 - 0</t>
  </si>
  <si>
    <t>SOU (H) 3 - 1</t>
  </si>
  <si>
    <t>TOT (A) 0 - 2</t>
  </si>
  <si>
    <t>WAT (H) 4 - 0</t>
  </si>
  <si>
    <t>BHA (H) 0 - 3</t>
  </si>
  <si>
    <t>MCI (H) 1 - 5</t>
  </si>
  <si>
    <t>Coady</t>
  </si>
  <si>
    <t>Kilman</t>
  </si>
  <si>
    <t>Semedo</t>
  </si>
  <si>
    <t>Ait Norui</t>
  </si>
  <si>
    <t>Jonny</t>
  </si>
  <si>
    <t>Moutinho</t>
  </si>
  <si>
    <t>Neves</t>
  </si>
  <si>
    <t>Dendoncker</t>
  </si>
  <si>
    <t>Podence</t>
  </si>
  <si>
    <t>Trincao</t>
  </si>
  <si>
    <t>Neto</t>
  </si>
  <si>
    <t>Chiquino</t>
  </si>
  <si>
    <t>Jimenez</t>
  </si>
  <si>
    <t>Hwang</t>
  </si>
  <si>
    <t>Fabio Silva</t>
  </si>
  <si>
    <t>xPoints Scaled</t>
  </si>
  <si>
    <t>Bournemouth</t>
  </si>
  <si>
    <t>Solanke</t>
  </si>
  <si>
    <t>Travers</t>
  </si>
  <si>
    <t>Kelly</t>
  </si>
  <si>
    <t>Billing</t>
  </si>
  <si>
    <t>Anthony</t>
  </si>
  <si>
    <t>Christie</t>
  </si>
  <si>
    <t>Zemura</t>
  </si>
  <si>
    <t>Lerma</t>
  </si>
  <si>
    <t>Cook</t>
  </si>
  <si>
    <t>Stacey</t>
  </si>
  <si>
    <t>Cahill</t>
  </si>
  <si>
    <t>Smith</t>
  </si>
  <si>
    <t>Lowe</t>
  </si>
  <si>
    <t>Kilkenny</t>
  </si>
  <si>
    <t>Mepham</t>
  </si>
  <si>
    <t>Pearson</t>
  </si>
  <si>
    <t>Marcondes</t>
  </si>
  <si>
    <t>Davis</t>
  </si>
  <si>
    <t>Fulham</t>
  </si>
  <si>
    <t>Ream</t>
  </si>
  <si>
    <t>Mitrovic</t>
  </si>
  <si>
    <t>Adarabioyo</t>
  </si>
  <si>
    <t>Robinson</t>
  </si>
  <si>
    <t>Rodak</t>
  </si>
  <si>
    <t>Kebano</t>
  </si>
  <si>
    <t>Reed</t>
  </si>
  <si>
    <t>Reid</t>
  </si>
  <si>
    <t>Seri</t>
  </si>
  <si>
    <t>Cairney</t>
  </si>
  <si>
    <t>Odoi</t>
  </si>
  <si>
    <t>Tete</t>
  </si>
  <si>
    <t>Williams</t>
  </si>
  <si>
    <t>Gazzaniga</t>
  </si>
  <si>
    <t>Bryan</t>
  </si>
  <si>
    <t>Onomah</t>
  </si>
  <si>
    <t>Cavaleiro</t>
  </si>
  <si>
    <t>Nottingham Forest</t>
  </si>
  <si>
    <t>McKenna</t>
  </si>
  <si>
    <t>Yates</t>
  </si>
  <si>
    <t>Samba</t>
  </si>
  <si>
    <t>Worrall</t>
  </si>
  <si>
    <t>Spence</t>
  </si>
  <si>
    <t>Garner</t>
  </si>
  <si>
    <t>Colback</t>
  </si>
  <si>
    <t>Zinckernagel</t>
  </si>
  <si>
    <t>Grabban</t>
  </si>
  <si>
    <t>Figueiredo</t>
  </si>
  <si>
    <t>Lolley</t>
  </si>
  <si>
    <t>Taylor</t>
  </si>
  <si>
    <t>Mighten</t>
  </si>
  <si>
    <t>Surridge</t>
  </si>
  <si>
    <t>Horvath</t>
  </si>
  <si>
    <t>Haaland</t>
  </si>
  <si>
    <t>Perisic</t>
  </si>
  <si>
    <t>Kamara</t>
  </si>
  <si>
    <t>Carlos</t>
  </si>
  <si>
    <t>Olsen</t>
  </si>
  <si>
    <t>Carvalho</t>
  </si>
  <si>
    <t>Kristensen</t>
  </si>
  <si>
    <t>Aaronson</t>
  </si>
  <si>
    <t>Nunez</t>
  </si>
  <si>
    <t>Roca</t>
  </si>
  <si>
    <t>Ramsay</t>
  </si>
  <si>
    <t>Aguerd</t>
  </si>
  <si>
    <t>Fredericks</t>
  </si>
  <si>
    <t>Bazunu</t>
  </si>
  <si>
    <t>Awoniyi</t>
  </si>
  <si>
    <t>Bella-Kotchap</t>
  </si>
  <si>
    <t>Vieira</t>
  </si>
  <si>
    <t>Undav</t>
  </si>
  <si>
    <t>Van de Beek</t>
  </si>
  <si>
    <t>Brooks</t>
  </si>
  <si>
    <t>Moore</t>
  </si>
  <si>
    <t>Saint-Maximin</t>
  </si>
  <si>
    <t>Pope</t>
  </si>
  <si>
    <t>Tosin</t>
  </si>
  <si>
    <t>Muniz</t>
  </si>
  <si>
    <t>Tarkowski</t>
  </si>
  <si>
    <t>Fofana</t>
  </si>
  <si>
    <t>Dembele</t>
  </si>
  <si>
    <t>Kongolo</t>
  </si>
  <si>
    <t>Knockaert</t>
  </si>
  <si>
    <t>De Cordova-Reid</t>
  </si>
  <si>
    <t>Paulhinha</t>
  </si>
  <si>
    <t>Laryea</t>
  </si>
  <si>
    <t>Mbe Soh</t>
  </si>
  <si>
    <t>Biancone</t>
  </si>
  <si>
    <t>Xande Silva</t>
  </si>
  <si>
    <t>Arter</t>
  </si>
  <si>
    <t>Ricardo</t>
  </si>
  <si>
    <t>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</si>
</sst>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sz val="24"/>
      <color theme="1"/>
      <name val="Montserrat"/>
    </font>
    <font>
      <sz val="14"/>
      <color theme="1"/>
      <name val="Montserrat"/>
    </font>
    <font>
      <sz val="8"/>
      <name val="Calibri"/>
      <family val="2"/>
      <scheme val="minor"/>
    </font>
    <font>
      <sz val="16"/>
      <color theme="1"/>
      <name val="Montserrat"/>
    </font>
    <font>
      <sz val="12"/>
      <color theme="1"/>
      <name val="Montserrat"/>
    </font>
    <font>
      <b/>
      <sz val="18"/>
      <color theme="1"/>
      <name val="Montserrat"/>
    </font>
    <font>
      <sz val="10"/>
      <color theme="1"/>
      <name val="Montserrat"/>
    </font>
    <font>
      <sz val="2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1" fillId="0" borderId="0" xfId="0" applyNumberFormat="1" applyFont="1"/>
    <xf numFmtId="0" fontId="0" fillId="2" borderId="1" xfId="0" applyFont="1" applyFill="1" applyBorder="1"/>
    <xf numFmtId="2" fontId="1" fillId="0" borderId="2" xfId="0" applyNumberFormat="1" applyFont="1" applyBorder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" fontId="7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7" fillId="0" borderId="0" xfId="0" applyNumberFormat="1" applyFont="1"/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812"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</dxfs>
  <tableStyles count="0" defaultTableStyle="TableStyleMedium2" defaultPivotStyle="PivotStyleLight16"/>
  <colors>
    <mruColors>
      <color rgb="FFF1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E5B811-4E73-4FA4-AC1E-2349561FB382}" name="NewTransfers" displayName="NewTransfers" ref="A1:M22" totalsRowShown="0" headerRowDxfId="811" dataDxfId="810">
  <autoFilter ref="A1:M22" xr:uid="{C1E5B811-4E73-4FA4-AC1E-2349561FB382}"/>
  <sortState xmlns:xlrd2="http://schemas.microsoft.com/office/spreadsheetml/2017/richdata2" ref="A2:M11">
    <sortCondition descending="1" ref="L3:L12"/>
  </sortState>
  <tableColumns count="13">
    <tableColumn id="1" xr3:uid="{BD9F344E-F45D-47B9-9BD7-5417691B8A3C}" name="Player" dataDxfId="809"/>
    <tableColumn id="2" xr3:uid="{8BED86F1-4813-49A8-BC0E-0D8705FE13E7}" name="Pos." dataDxfId="808"/>
    <tableColumn id="5" xr3:uid="{84667B50-2F5C-43B4-B6E2-AFFC3784ADD4}" name="xPoints Scaled" dataDxfId="807">
      <calculatedColumnFormula>IF(MAX(GameRecord[GW]) &lt;= 19, NewTransfers[[#This Row],[xPoints Av.]] *3, NewTransfers[[#This Row],[xPoints Av.]])</calculatedColumnFormula>
    </tableColumn>
    <tableColumn id="3" xr3:uid="{5F2E12B6-A794-4C4C-B4FD-88A9A9E9AF47}" name="xPoints Av." dataDxfId="806">
      <calculatedColumnFormula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calculatedColumnFormula>
    </tableColumn>
    <tableColumn id="4" xr3:uid="{8E5C42E5-84FF-4F3B-B663-667BD742DC33}" name="Regularity" dataDxfId="805">
      <calculatedColumnFormula>(NewTransfers[[#This Row],[60+Mins This Season]]/NewTransfers[[#This Row],[Possible 60+Mins This Season]])</calculatedColumnFormula>
    </tableColumn>
    <tableColumn id="8" xr3:uid="{6C9909BC-FFD2-4D06-9066-2F13F177F7B3}" name="xGp90 This Season" dataDxfId="804"/>
    <tableColumn id="9" xr3:uid="{6F9C2EE0-BD7A-4E66-A7F9-718810274ECA}" name="xAp90 This Season" dataDxfId="803"/>
    <tableColumn id="10" xr3:uid="{F496BBD3-7CC1-49FE-B08E-CE556D9FF365}" name="CSp90 This Season" dataDxfId="802"/>
    <tableColumn id="13" xr3:uid="{FAE63E33-2AF2-4F39-9ADB-4CF759D7A30B}" name="60+Mins This Season" dataDxfId="801"/>
    <tableColumn id="14" xr3:uid="{DCF8D805-83C5-41A6-94BE-0D78BD3C0ABB}" name="Possible 60+Mins This Season" dataDxfId="800"/>
    <tableColumn id="15" xr3:uid="{E1DA24A9-9CAA-4B4A-BE3D-080F83EE6048}" name="Price" dataDxfId="799"/>
    <tableColumn id="16" xr3:uid="{9174BA55-3767-48DA-BCF4-BB2102AADAD3}" name="Quality" dataDxfId="798">
      <calculatedColumnFormula>NewTransfers[[#This Row],[xPoints Scaled]]*NewTransfers[[#This Row],[Regularity]]</calculatedColumnFormula>
    </tableColumn>
    <tableColumn id="17" xr3:uid="{7FDF3D5C-A0A4-4421-B57B-3BC7E571DE3E}" name="Team" dataDxfId="797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D76243-C831-4B36-BB93-00AE446CE848}" name="FUL_34" displayName="FUL_34" ref="A1:M21" totalsRowShown="0" headerRowDxfId="648" dataDxfId="647">
  <autoFilter ref="A1:M21" xr:uid="{3DD76243-C831-4B36-BB93-00AE446CE848}"/>
  <sortState xmlns:xlrd2="http://schemas.microsoft.com/office/spreadsheetml/2017/richdata2" ref="A2:M21">
    <sortCondition ref="B1:B21"/>
  </sortState>
  <tableColumns count="13">
    <tableColumn id="1" xr3:uid="{9CC0C44C-6DEB-4295-B0E8-AAF813599B18}" name="Player" dataDxfId="646"/>
    <tableColumn id="2" xr3:uid="{94229BE0-385E-4C05-8EF3-E4EB787BDD65}" name="Pos." dataDxfId="645"/>
    <tableColumn id="5" xr3:uid="{7BF2D30D-33A9-40AB-927C-A26381D5700C}" name="xPoints Scaled" dataDxfId="644">
      <calculatedColumnFormula>IF(MAX(GameRecord[GW]) &lt;= 19, FUL_34[[#This Row],[xPoints Av.]] *1, FUL_34[[#This Row],[xPoints Av.]])</calculatedColumnFormula>
    </tableColumn>
    <tableColumn id="3" xr3:uid="{EFE0C4B3-7DC5-4EF4-A251-B0D05363A9DA}" name="xPoints Av." dataDxfId="643">
      <calculatedColumnFormula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calculatedColumnFormula>
    </tableColumn>
    <tableColumn id="4" xr3:uid="{286C3D2C-EC7F-46F4-B81D-CC1DD9F430D9}" name="Regularity" dataDxfId="642">
      <calculatedColumnFormula>(FUL_34[[#This Row],[60+Mins This Season]]/FUL_34[[#This Row],[Possible 60+Mins This Season]])</calculatedColumnFormula>
    </tableColumn>
    <tableColumn id="8" xr3:uid="{89F7C47C-DE38-48E0-92F0-E2FCE6305328}" name="xGp90 This Season" dataDxfId="641"/>
    <tableColumn id="9" xr3:uid="{B5426E53-981F-47CB-B6C7-F7C3F47851A3}" name="xAp90 This Season" dataDxfId="640"/>
    <tableColumn id="10" xr3:uid="{1B299E62-8E9D-4033-BF09-06494D5BDA4F}" name="CSp90 This Season" dataDxfId="639"/>
    <tableColumn id="13" xr3:uid="{32312071-08CD-4140-A95D-6264DD0B25EE}" name="60+Mins This Season" dataDxfId="638"/>
    <tableColumn id="14" xr3:uid="{EEACBE90-51EF-444F-A53D-738A67EDB7C7}" name="Possible 60+Mins This Season" dataDxfId="637"/>
    <tableColumn id="15" xr3:uid="{E6B88442-AB72-4217-B06E-A052B4B7B7A6}" name="Price" dataDxfId="636"/>
    <tableColumn id="16" xr3:uid="{43F1A101-BEB7-4DB3-ADB7-E6F6E462F62F}" name="Quality" dataDxfId="635">
      <calculatedColumnFormula>FUL_34[[#This Row],[xPoints Scaled]]*FUL_34[[#This Row],[Regularity]]</calculatedColumnFormula>
    </tableColumn>
    <tableColumn id="17" xr3:uid="{CC03AB5F-DAE4-4CA3-AE89-FEA0D4057DEE}" name="Team" dataDxfId="634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A2A4F84-8D22-484D-8CF5-EB8D990D2BD9}" name="FOR_36" displayName="FOR_36" ref="A1:M18" totalsRowShown="0" headerRowDxfId="633" dataDxfId="632">
  <autoFilter ref="A1:M18" xr:uid="{DA2A4F84-8D22-484D-8CF5-EB8D990D2BD9}"/>
  <sortState xmlns:xlrd2="http://schemas.microsoft.com/office/spreadsheetml/2017/richdata2" ref="A2:M18">
    <sortCondition ref="B1:B18"/>
  </sortState>
  <tableColumns count="13">
    <tableColumn id="1" xr3:uid="{4CE1219C-1473-498B-A1BF-C94DD2A57F6E}" name="Player" dataDxfId="631"/>
    <tableColumn id="2" xr3:uid="{58129EB9-020D-4FCE-8378-54CC4CDE4841}" name="Pos." dataDxfId="630"/>
    <tableColumn id="5" xr3:uid="{56873C6C-622B-4327-9B46-B4B29FEE2F13}" name="xPoints Scaled" dataDxfId="629">
      <calculatedColumnFormula>IF(MAX(GameRecord[GW]) &lt;= 19, FOR_36[[#This Row],[xPoints Av.]] *1, FOR_36[[#This Row],[xPoints Av.]])</calculatedColumnFormula>
    </tableColumn>
    <tableColumn id="3" xr3:uid="{8077C1E6-8A94-42AC-87AF-2EB7161456F7}" name="xPoints Av." dataDxfId="628">
      <calculatedColumnFormula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calculatedColumnFormula>
    </tableColumn>
    <tableColumn id="4" xr3:uid="{F7AA4109-9A66-4D35-9D8F-E60AFF54FD4A}" name="Regularity" dataDxfId="627">
      <calculatedColumnFormula>(FOR_36[[#This Row],[60+Mins This Season]]/FOR_36[[#This Row],[Possible 60+Mins This Season]])</calculatedColumnFormula>
    </tableColumn>
    <tableColumn id="8" xr3:uid="{5D4318D0-D385-4F1C-B55C-C4EC1DFD4F19}" name="xGp90 This Season" dataDxfId="626"/>
    <tableColumn id="9" xr3:uid="{440EA7AB-D787-4A20-B90A-6F3F8E5D705C}" name="xAp90 This Season" dataDxfId="625"/>
    <tableColumn id="10" xr3:uid="{5A4F52E3-2790-414D-9EC8-17882272C832}" name="CSp90 This Season" dataDxfId="624"/>
    <tableColumn id="13" xr3:uid="{861319C8-FA28-4A82-8C77-73E9F87434F4}" name="60+Mins This Season" dataDxfId="623"/>
    <tableColumn id="14" xr3:uid="{914B5ECE-E43A-4AB5-BABF-71C948A544C1}" name="Possible 60+Mins This Season" dataDxfId="622"/>
    <tableColumn id="15" xr3:uid="{7F8F1EDA-80DD-41B1-91E1-9C8D72AF3B7F}" name="Price" dataDxfId="621"/>
    <tableColumn id="16" xr3:uid="{7C21AF4B-313E-44A7-B80F-7AC7BBED2A77}" name="Quality" dataDxfId="620">
      <calculatedColumnFormula>FOR_36[[#This Row],[xPoints Scaled]]*FOR_36[[#This Row],[Regularity]]</calculatedColumnFormula>
    </tableColumn>
    <tableColumn id="17" xr3:uid="{0D803A9B-A226-48EA-B111-0735FE5BDC4D}" name="Team" dataDxfId="619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63F08EF-8093-4D24-BB23-C70F41E70322}" name="LEE_35" displayName="LEE_35" ref="A1:Q17" totalsRowShown="0" headerRowDxfId="618" dataDxfId="617">
  <autoFilter ref="A1:Q17" xr:uid="{E63F08EF-8093-4D24-BB23-C70F41E70322}"/>
  <sortState xmlns:xlrd2="http://schemas.microsoft.com/office/spreadsheetml/2017/richdata2" ref="A2:Q17">
    <sortCondition ref="B1:B17"/>
  </sortState>
  <tableColumns count="17">
    <tableColumn id="1" xr3:uid="{0C287755-B07D-43E6-990C-B647B575A3A9}" name="Player" dataDxfId="616"/>
    <tableColumn id="2" xr3:uid="{4DD1026B-AA69-450E-8F5D-413E1E93360C}" name="Pos." dataDxfId="615"/>
    <tableColumn id="3" xr3:uid="{BA8FDD1D-22F0-46A1-9E40-0DB5B0852C5C}" name="xPoints Av." dataDxfId="614">
      <calculatedColumnFormula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calculatedColumnFormula>
    </tableColumn>
    <tableColumn id="4" xr3:uid="{6C3A6068-5207-4C4B-A142-862ED670C879}" name="Regularity" dataDxfId="613">
      <calculatedColumnFormula>(LEE_35[[#This Row],[60+Mins Last Season]]/LEE_35[[#This Row],[Possible 60+Mins Last Season]] * (38-MAX(GameRecord[GW]))/38) + (LEE_35[[#This Row],[60+Mins This Season]]/LEE_35[[#This Row],[Possible 60+Mins This Season]] * (MAX(GameRecord[GW]))/38)</calculatedColumnFormula>
    </tableColumn>
    <tableColumn id="5" xr3:uid="{13AA243A-D424-4A2E-BF85-C8AC54E5DD3A}" name="xGp90 Last Season" dataDxfId="612"/>
    <tableColumn id="6" xr3:uid="{442FA445-94AE-4AC9-B531-D7FD5BB82E80}" name="xAp90 Last Season" dataDxfId="611"/>
    <tableColumn id="7" xr3:uid="{F946336F-A657-469F-839A-3D578B59B323}" name="CSp90 Last Season" dataDxfId="610"/>
    <tableColumn id="11" xr3:uid="{1BA1CEAF-2C5F-41E3-A4F5-F088B142E721}" name="60+Mins Last Season" dataDxfId="609"/>
    <tableColumn id="12" xr3:uid="{84FF1A0C-4E6C-450B-AC93-866B95FB8F27}" name="Possible 60+Mins Last Season" dataDxfId="608"/>
    <tableColumn id="8" xr3:uid="{56DFFB0B-1886-4F1F-A836-B7DDD0C0910E}" name="xGp90 This Season" dataDxfId="607"/>
    <tableColumn id="9" xr3:uid="{9382892D-DEBE-4F6C-AFDF-48FC70DAEBA4}" name="xAp90 This Season" dataDxfId="606"/>
    <tableColumn id="10" xr3:uid="{DCE7467D-D126-45BF-96F0-B7E2E355D2BF}" name="CSp90 This Season" dataDxfId="605"/>
    <tableColumn id="13" xr3:uid="{7AD7FF50-F72D-4162-AA0B-C85B739D5652}" name="60+Mins This Season" dataDxfId="604"/>
    <tableColumn id="14" xr3:uid="{4847FCC4-6465-4A41-AC5E-1B3C254A95D2}" name="Possible 60+Mins This Season" dataDxfId="603"/>
    <tableColumn id="15" xr3:uid="{561CF330-1CC8-4DEA-A7C2-52185B99B57C}" name="Price" dataDxfId="602"/>
    <tableColumn id="16" xr3:uid="{8EAF645F-1B87-4C07-87C6-B1A9041399AD}" name="Quality" dataDxfId="601">
      <calculatedColumnFormula>LEE_35[[#This Row],[xPoints Av.]]*LEE_35[[#This Row],[Regularity]]</calculatedColumnFormula>
    </tableColumn>
    <tableColumn id="17" xr3:uid="{F37A6C72-D601-4046-92F3-77B20A393281}" name="Team" dataDxfId="600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B3AAFC1-B6D2-4DE8-A89A-C4DE82228A82}" name="LEI_37" displayName="LEI_37" ref="A1:Q18" totalsRowShown="0" headerRowDxfId="599" dataDxfId="598">
  <autoFilter ref="A1:Q18" xr:uid="{0B3AAFC1-B6D2-4DE8-A89A-C4DE82228A82}"/>
  <sortState xmlns:xlrd2="http://schemas.microsoft.com/office/spreadsheetml/2017/richdata2" ref="A2:Q18">
    <sortCondition ref="B1:B18"/>
  </sortState>
  <tableColumns count="17">
    <tableColumn id="1" xr3:uid="{B0F826E4-A90C-481D-872F-CE311BAB6DBA}" name="Player" dataDxfId="597"/>
    <tableColumn id="2" xr3:uid="{271F8F51-3E9F-4238-8BC6-2A6FBCDBC6C4}" name="Pos." dataDxfId="596"/>
    <tableColumn id="3" xr3:uid="{606314B5-8BE1-4C6B-994D-25B89CA2BA8D}" name="xPoints Av." dataDxfId="595">
      <calculatedColumnFormula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calculatedColumnFormula>
    </tableColumn>
    <tableColumn id="4" xr3:uid="{A5BF0B25-91FC-4AE0-9AD4-914951F3797B}" name="Regularity" dataDxfId="594">
      <calculatedColumnFormula>(LEI_37[[#This Row],[60+Mins Last Season]]/LEI_37[[#This Row],[Possible 60+Mins Last Season]] * (38-MAX(GameRecord[GW]))/38) + (LEI_37[[#This Row],[60+Mins This Season]]/LEI_37[[#This Row],[Possible 60+Mins This Season]] * (MAX(GameRecord[GW]))/38)</calculatedColumnFormula>
    </tableColumn>
    <tableColumn id="5" xr3:uid="{4C7EDDAF-C039-4D56-8001-34097E5CA4DB}" name="xGp90 Last Season" dataDxfId="593"/>
    <tableColumn id="6" xr3:uid="{85000DDF-B9E3-4C92-9E91-BC8E2E061449}" name="xAp90 Last Season" dataDxfId="592"/>
    <tableColumn id="7" xr3:uid="{72448F0E-6289-4603-9128-1F361E2F5009}" name="CSp90 Last Season" dataDxfId="591"/>
    <tableColumn id="11" xr3:uid="{5A9FEDDF-D54E-4220-BC96-0DCC5ACCF0E8}" name="60+Mins Last Season" dataDxfId="590"/>
    <tableColumn id="12" xr3:uid="{17054B65-EFFD-435E-BAD3-D175F3EEEC0E}" name="Possible 60+Mins Last Season" dataDxfId="589"/>
    <tableColumn id="8" xr3:uid="{FD42E828-2DDF-4BE2-9DF7-A6420012A5A3}" name="xGp90 This Season" dataDxfId="588"/>
    <tableColumn id="9" xr3:uid="{B7EA2A67-A4D1-4D67-A1FF-465C96225C3D}" name="xAp90 This Season" dataDxfId="587"/>
    <tableColumn id="10" xr3:uid="{AD7E4DF1-FBDD-415E-AC8E-F3DAADEE74FE}" name="CSp90 This Season" dataDxfId="586"/>
    <tableColumn id="13" xr3:uid="{5A080BD6-A32D-4051-B119-FFE969F06762}" name="60+Mins This Season" dataDxfId="585"/>
    <tableColumn id="14" xr3:uid="{E2705A03-B041-4BDC-8DBC-100C8797329B}" name="Possible 60+Mins This Season" dataDxfId="584"/>
    <tableColumn id="15" xr3:uid="{58986B4F-917F-4B50-94C8-DB0FF18D985E}" name="Price" dataDxfId="583"/>
    <tableColumn id="16" xr3:uid="{B3FB708E-2366-43EE-BF27-40B1E609C3FF}" name="Quality" dataDxfId="582">
      <calculatedColumnFormula>LEI_37[[#This Row],[xPoints Av.]]*LEI_37[[#This Row],[Regularity]]</calculatedColumnFormula>
    </tableColumn>
    <tableColumn id="17" xr3:uid="{09F91BDA-C482-4F02-8F4C-113FC0731DB5}" name="Team" dataDxfId="581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9175F4B-FB60-4F23-8A13-39AD4EEC608F}" name="LIV_38" displayName="LIV_38" ref="A1:Q20" totalsRowShown="0" headerRowDxfId="580" dataDxfId="579">
  <autoFilter ref="A1:Q20" xr:uid="{19175F4B-FB60-4F23-8A13-39AD4EEC608F}"/>
  <sortState xmlns:xlrd2="http://schemas.microsoft.com/office/spreadsheetml/2017/richdata2" ref="A2:Q20">
    <sortCondition ref="B1:B20"/>
  </sortState>
  <tableColumns count="17">
    <tableColumn id="1" xr3:uid="{B9EE3312-0174-455B-983E-B6FBA4A157DD}" name="Player" dataDxfId="578"/>
    <tableColumn id="2" xr3:uid="{4757EB55-7C1C-4A06-8F67-7FC8A4BBD0DF}" name="Pos." dataDxfId="577"/>
    <tableColumn id="3" xr3:uid="{42F6A1E2-C33B-484D-9DD0-6895A701DF01}" name="xPoints Av." dataDxfId="576">
      <calculatedColumnFormula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calculatedColumnFormula>
    </tableColumn>
    <tableColumn id="4" xr3:uid="{50320BB1-6EF1-4018-9130-E8841E2215CE}" name="Regularity" dataDxfId="575">
      <calculatedColumnFormula>(LIV_38[[#This Row],[60+Mins Last Season]]/LIV_38[[#This Row],[Possible 60+Mins Last Season]] * (38-MAX(GameRecord[GW]))/38) + (LIV_38[[#This Row],[60+Mins This Season]]/LIV_38[[#This Row],[Possible 60+Mins This Season]] * (MAX(GameRecord[GW]))/38)</calculatedColumnFormula>
    </tableColumn>
    <tableColumn id="5" xr3:uid="{AA1A4943-1F93-4D3C-A889-4AD820CBCA4E}" name="xGp90 Last Season" dataDxfId="574"/>
    <tableColumn id="6" xr3:uid="{D9AC819B-BB18-4B4E-B443-0D8C82A3CF88}" name="xAp90 Last Season" dataDxfId="573"/>
    <tableColumn id="7" xr3:uid="{67987ABA-29D3-4450-B273-7E98F2971F33}" name="CSp90 Last Season" dataDxfId="572"/>
    <tableColumn id="11" xr3:uid="{EE0F7404-DD2F-497D-A39C-6F4ADF2A410E}" name="60+Mins Last Season" dataDxfId="571"/>
    <tableColumn id="12" xr3:uid="{3DE35C84-A7AF-4D17-9088-1F16CF4B9225}" name="Possible 60+Mins Last Season" dataDxfId="570"/>
    <tableColumn id="8" xr3:uid="{45ECADA8-F10D-4443-A661-3168536225BB}" name="xGp90 This Season" dataDxfId="569"/>
    <tableColumn id="9" xr3:uid="{FAFAEA2E-0903-44D9-894A-3A6EE9A9E624}" name="xAp90 This Season" dataDxfId="568"/>
    <tableColumn id="10" xr3:uid="{DAD8B763-094D-4855-A614-BB885FF84639}" name="CSp90 This Season" dataDxfId="567"/>
    <tableColumn id="13" xr3:uid="{17E0F6BE-E119-4B99-9D82-4DD1F03609DD}" name="60+Mins This Season" dataDxfId="566"/>
    <tableColumn id="14" xr3:uid="{0AE9992C-2311-4F7A-848E-4743DAEDC4FD}" name="Possible 60+Mins This Season" dataDxfId="565"/>
    <tableColumn id="15" xr3:uid="{318BA01A-6E72-4235-BCF4-2D95CD32E144}" name="Price" dataDxfId="564"/>
    <tableColumn id="16" xr3:uid="{3D31161C-6814-4F69-AA7D-4D694487F063}" name="Quality" dataDxfId="563">
      <calculatedColumnFormula>LIV_38[[#This Row],[xPoints Av.]]*LIV_38[[#This Row],[Regularity]]</calculatedColumnFormula>
    </tableColumn>
    <tableColumn id="17" xr3:uid="{9A38909F-9175-4AC7-ABD5-301A8170DA54}" name="Team" dataDxfId="562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187FFDF-8DB9-4119-AAF4-E7B83CCBDECE}" name="MCI_39" displayName="MCI_39" ref="A1:Q18" totalsRowShown="0" headerRowDxfId="561" dataDxfId="560">
  <autoFilter ref="A1:Q18" xr:uid="{2187FFDF-8DB9-4119-AAF4-E7B83CCBDECE}"/>
  <sortState xmlns:xlrd2="http://schemas.microsoft.com/office/spreadsheetml/2017/richdata2" ref="A2:Q18">
    <sortCondition ref="B1:B18"/>
  </sortState>
  <tableColumns count="17">
    <tableColumn id="1" xr3:uid="{518A891B-87DF-4E6A-83B0-47B51507A0B7}" name="Player" dataDxfId="559"/>
    <tableColumn id="2" xr3:uid="{19058B6F-F7FD-4B36-8DE6-5C0DCFE8CF5B}" name="Pos." dataDxfId="558"/>
    <tableColumn id="3" xr3:uid="{4887C91E-D23B-4685-BB97-89AF09A7C494}" name="xPoints Av." dataDxfId="557">
      <calculatedColumnFormula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calculatedColumnFormula>
    </tableColumn>
    <tableColumn id="4" xr3:uid="{098C3B64-B241-42BE-959F-EAFDA244F42C}" name="Regularity" dataDxfId="556">
      <calculatedColumnFormula>(MCI_39[[#This Row],[60+Mins Last Season]]/MCI_39[[#This Row],[Possible 60+Mins Last Season]] * (38-MAX(GameRecord[GW]))/38) + (MCI_39[[#This Row],[60+Mins This Season]]/MCI_39[[#This Row],[Possible 60+Mins This Season]] * (MAX(GameRecord[GW]))/38)</calculatedColumnFormula>
    </tableColumn>
    <tableColumn id="5" xr3:uid="{E09F80EA-9B4B-4C00-BF9C-C78751ED8AC5}" name="xGp90 Last Season" dataDxfId="555"/>
    <tableColumn id="6" xr3:uid="{539B0510-A153-4596-891B-C623DB034B23}" name="xAp90 Last Season" dataDxfId="554"/>
    <tableColumn id="7" xr3:uid="{EE4F8052-AC3A-4128-96F2-AA10081741C6}" name="CSp90 Last Season" dataDxfId="553"/>
    <tableColumn id="11" xr3:uid="{765330C2-EC37-427D-AA43-037E08958FFA}" name="60+Mins Last Season" dataDxfId="552"/>
    <tableColumn id="12" xr3:uid="{A2910570-13BF-47DB-8692-93B8175FA1E9}" name="Possible 60+Mins Last Season" dataDxfId="551"/>
    <tableColumn id="8" xr3:uid="{5BD2F22A-BE02-4CA2-980E-7E51315CAE73}" name="xGp90 This Season" dataDxfId="550"/>
    <tableColumn id="9" xr3:uid="{B1A7DDDC-D16E-473F-9DCC-926FB538B179}" name="xAp90 This Season" dataDxfId="549"/>
    <tableColumn id="10" xr3:uid="{F92EFD24-C5DE-4BAC-9582-EF450D037EC2}" name="CSp90 This Season" dataDxfId="548"/>
    <tableColumn id="13" xr3:uid="{6020BC9E-4AC3-4388-9719-82BE263B791F}" name="60+Mins This Season" dataDxfId="547"/>
    <tableColumn id="14" xr3:uid="{B3DF4D8E-65A4-4791-AC9D-489300B7C95F}" name="Possible 60+Mins This Season" dataDxfId="546"/>
    <tableColumn id="15" xr3:uid="{19D1CE31-20AC-4122-8CBB-B3284690172B}" name="Price" dataDxfId="545"/>
    <tableColumn id="16" xr3:uid="{963D7E69-A565-44DA-B652-1D5AF2A35027}" name="Quality" dataDxfId="544">
      <calculatedColumnFormula>MCI_39[[#This Row],[xPoints Av.]]*MCI_39[[#This Row],[Regularity]]</calculatedColumnFormula>
    </tableColumn>
    <tableColumn id="17" xr3:uid="{C1922834-9EB0-41BD-B383-D81A4DA72837}" name="Team" dataDxfId="543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B095DFB-E0C6-402A-8E5F-4CD8C235541C}" name="MUN_40" displayName="MUN_40" ref="A1:Q18" totalsRowShown="0" headerRowDxfId="542" dataDxfId="541">
  <autoFilter ref="A1:Q18" xr:uid="{1B095DFB-E0C6-402A-8E5F-4CD8C235541C}"/>
  <sortState xmlns:xlrd2="http://schemas.microsoft.com/office/spreadsheetml/2017/richdata2" ref="A2:Q18">
    <sortCondition ref="B1:B18"/>
  </sortState>
  <tableColumns count="17">
    <tableColumn id="1" xr3:uid="{B80CCBA6-E699-4288-9857-72ED70861EA5}" name="Player" dataDxfId="540"/>
    <tableColumn id="2" xr3:uid="{8E7DB1CD-3D64-4812-B344-CECE243B6980}" name="Pos." dataDxfId="539"/>
    <tableColumn id="3" xr3:uid="{01F98FFE-5257-42E8-A437-4F81EE09D13D}" name="xPoints Av." dataDxfId="538">
      <calculatedColumnFormula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calculatedColumnFormula>
    </tableColumn>
    <tableColumn id="4" xr3:uid="{AD52B1F5-6852-4722-AF68-EFDACACB8F2C}" name="Regularity" dataDxfId="537">
      <calculatedColumnFormula>(MUN_40[[#This Row],[60+Mins Last Season]]/MUN_40[[#This Row],[Possible 60+Mins Last Season]] * (38-MAX(GameRecord[GW]))/38) + (MUN_40[[#This Row],[60+Mins This Season]]/MUN_40[[#This Row],[Possible 60+Mins This Season]] * (MAX(GameRecord[GW]))/38)</calculatedColumnFormula>
    </tableColumn>
    <tableColumn id="5" xr3:uid="{BB435312-945A-46BB-8D71-6E1D715A4A01}" name="xGp90 Last Season" dataDxfId="536"/>
    <tableColumn id="6" xr3:uid="{559A7D2D-A170-4566-BCD9-3CD24C7CB78E}" name="xAp90 Last Season" dataDxfId="535"/>
    <tableColumn id="7" xr3:uid="{3BFD370C-8685-4FEC-B308-696C2A029AA0}" name="CSp90 Last Season" dataDxfId="534"/>
    <tableColumn id="11" xr3:uid="{68CA63D2-5243-4F75-A120-F27CD2745D26}" name="60+Mins Last Season" dataDxfId="533"/>
    <tableColumn id="12" xr3:uid="{27E881CA-5F19-4397-AFF0-0953AEA3AEB3}" name="Possible 60+Mins Last Season" dataDxfId="532"/>
    <tableColumn id="8" xr3:uid="{3A4E4F15-2B24-4F03-B385-07CE1282CA4B}" name="xGp90 This Season" dataDxfId="531"/>
    <tableColumn id="9" xr3:uid="{46EEBAC7-2A4F-42BA-B747-EF3FAAB1FFF2}" name="xAp90 This Season" dataDxfId="530"/>
    <tableColumn id="10" xr3:uid="{59B6BD65-49B7-42FD-8734-57561E0252AD}" name="CSp90 This Season" dataDxfId="529"/>
    <tableColumn id="13" xr3:uid="{C172FF3B-3E9E-431C-A8B8-31FB3F04C016}" name="60+Mins This Season" dataDxfId="528"/>
    <tableColumn id="14" xr3:uid="{B2CBE1E7-B418-451F-BB3D-1A635F285DB7}" name="Possible 60+Mins This Season" dataDxfId="527"/>
    <tableColumn id="15" xr3:uid="{F7754B7D-E26F-4216-9870-31B49121901D}" name="Price" dataDxfId="526"/>
    <tableColumn id="16" xr3:uid="{A127FFB1-E573-4F4E-B151-A5AB6BC6508B}" name="Quality" dataDxfId="525">
      <calculatedColumnFormula>MUN_40[[#This Row],[xPoints Av.]]*MUN_40[[#This Row],[Regularity]]</calculatedColumnFormula>
    </tableColumn>
    <tableColumn id="17" xr3:uid="{2E344098-14D4-4CCE-BEA4-873C9537E561}" name="Team" dataDxfId="524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7FA8863-E90C-45B5-AC1E-CAB23F3B1968}" name="NEW_41" displayName="NEW_41" ref="A1:Q20" totalsRowShown="0" headerRowDxfId="523" dataDxfId="522">
  <autoFilter ref="A1:Q20" xr:uid="{67FA8863-E90C-45B5-AC1E-CAB23F3B1968}"/>
  <sortState xmlns:xlrd2="http://schemas.microsoft.com/office/spreadsheetml/2017/richdata2" ref="A2:Q20">
    <sortCondition ref="B1:B20"/>
  </sortState>
  <tableColumns count="17">
    <tableColumn id="1" xr3:uid="{2CAF33AB-CC3E-4709-9E0F-983322606543}" name="Player" dataDxfId="521"/>
    <tableColumn id="2" xr3:uid="{98C401F0-F5A5-414A-965E-A5DCB963E2F1}" name="Pos." dataDxfId="520"/>
    <tableColumn id="3" xr3:uid="{E7ADEB87-BF2C-4870-83A4-FFAB9784229D}" name="xPoints Av." dataDxfId="519">
      <calculatedColumnFormula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calculatedColumnFormula>
    </tableColumn>
    <tableColumn id="4" xr3:uid="{B5E7BBBA-2078-4CB1-9E36-58ADE0A63EAE}" name="Regularity" dataDxfId="518">
      <calculatedColumnFormula>(NEW_41[[#This Row],[60+Mins Last Season]]/NEW_41[[#This Row],[Possible 60+Mins Last Season]] * (38-MAX(GameRecord[GW]))/38) + (NEW_41[[#This Row],[60+Mins This Season]]/NEW_41[[#This Row],[Possible 60+Mins This Season]] * (MAX(GameRecord[GW]))/38)</calculatedColumnFormula>
    </tableColumn>
    <tableColumn id="5" xr3:uid="{F826B709-384B-4C6C-B812-76462CA721E6}" name="xGp90 Last Season" dataDxfId="517"/>
    <tableColumn id="6" xr3:uid="{7D30B858-DC6B-4724-80F5-63A1197FA0E3}" name="xAp90 Last Season" dataDxfId="516"/>
    <tableColumn id="7" xr3:uid="{533C956C-C4CF-4B66-A625-9642B11570BD}" name="CSp90 Last Season" dataDxfId="515"/>
    <tableColumn id="11" xr3:uid="{C985D62D-C0F6-485B-AA81-FACA0E8D5C88}" name="60+Mins Last Season" dataDxfId="514"/>
    <tableColumn id="12" xr3:uid="{04BB5432-7142-4EC7-B03B-34DABC0DB425}" name="Possible 60+Mins Last Season" dataDxfId="513"/>
    <tableColumn id="8" xr3:uid="{E349910F-9CE7-4FEE-8686-971FA1C8FE84}" name="xGp90 This Season" dataDxfId="512"/>
    <tableColumn id="9" xr3:uid="{1C410536-7F9C-438D-A2BB-B2B661E8E6E1}" name="xAp90 This Season" dataDxfId="511"/>
    <tableColumn id="10" xr3:uid="{6151CA9E-E4AB-4AE2-91B6-C05A643F15CE}" name="CSp90 This Season" dataDxfId="510"/>
    <tableColumn id="13" xr3:uid="{A688D4FF-DD19-4AD4-806F-3619FE6E3CB0}" name="60+Mins This Season" dataDxfId="509"/>
    <tableColumn id="14" xr3:uid="{40C06425-1087-49F4-BCD4-38CA85B6818D}" name="Possible 60+Mins This Season" dataDxfId="508"/>
    <tableColumn id="15" xr3:uid="{7FEF10C8-05C3-4EA9-8252-A29E8BC58484}" name="Price" dataDxfId="507"/>
    <tableColumn id="16" xr3:uid="{F503E481-2D1F-4442-8F73-50B86388E29C}" name="Quality" dataDxfId="506">
      <calculatedColumnFormula>NEW_41[[#This Row],[xPoints Av.]]*NEW_41[[#This Row],[Regularity]]</calculatedColumnFormula>
    </tableColumn>
    <tableColumn id="17" xr3:uid="{E746EAEF-07A4-441E-948E-C28458F56C42}" name="Team" dataDxfId="505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5812EF2-104A-4179-9A88-37149808A6E0}" name="SOU_42" displayName="SOU_42" ref="A1:Q16" totalsRowShown="0" headerRowDxfId="504" dataDxfId="503">
  <autoFilter ref="A1:Q16" xr:uid="{C5812EF2-104A-4179-9A88-37149808A6E0}"/>
  <sortState xmlns:xlrd2="http://schemas.microsoft.com/office/spreadsheetml/2017/richdata2" ref="A2:Q16">
    <sortCondition ref="B1:B16"/>
  </sortState>
  <tableColumns count="17">
    <tableColumn id="1" xr3:uid="{35F5E554-223E-403A-A41F-19FDBE7551AE}" name="Player" dataDxfId="502"/>
    <tableColumn id="2" xr3:uid="{0313254D-6A4D-4E3B-8F52-F148CD2381E1}" name="Pos." dataDxfId="501"/>
    <tableColumn id="3" xr3:uid="{DC43CA21-EA84-4262-9A84-69E094D17C3A}" name="xPoints Av." dataDxfId="500">
      <calculatedColumnFormula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calculatedColumnFormula>
    </tableColumn>
    <tableColumn id="4" xr3:uid="{E9AA792D-A853-4266-A158-985B5D143D65}" name="Regularity" dataDxfId="499">
      <calculatedColumnFormula>(SOU_42[[#This Row],[60+Mins Last Season]]/SOU_42[[#This Row],[Possible 60+Mins Last Season]] * (38-MAX(GameRecord[GW]))/38) + (SOU_42[[#This Row],[60+Mins This Season]]/SOU_42[[#This Row],[Possible 60+Mins This Season]] * (MAX(GameRecord[GW]))/38)</calculatedColumnFormula>
    </tableColumn>
    <tableColumn id="5" xr3:uid="{1BECD620-031D-4921-B781-AADC319453E2}" name="xGp90 Last Season" dataDxfId="498"/>
    <tableColumn id="6" xr3:uid="{168BA38B-9D35-4EF0-BA94-1EB0DEEE9E83}" name="xAp90 Last Season" dataDxfId="497"/>
    <tableColumn id="7" xr3:uid="{5B318441-CF77-4A8D-A771-A57706AA16C2}" name="CSp90 Last Season" dataDxfId="496"/>
    <tableColumn id="11" xr3:uid="{A33A9F6F-CCE8-49FD-8960-7AFCBF24DAE8}" name="60+Mins Last Season" dataDxfId="495"/>
    <tableColumn id="12" xr3:uid="{85913F70-F7CD-4A4A-8B28-05D75A038F22}" name="Possible 60+Mins Last Season" dataDxfId="494"/>
    <tableColumn id="8" xr3:uid="{36F5EB00-9129-4518-AD19-600DB437B41D}" name="xGp90 This Season" dataDxfId="493"/>
    <tableColumn id="9" xr3:uid="{21D42449-EFAD-4C5F-8C32-E7D6D71DB495}" name="xAp90 This Season" dataDxfId="492"/>
    <tableColumn id="10" xr3:uid="{8CECD5D0-343E-49D6-8028-7774D3B10168}" name="CSp90 This Season" dataDxfId="491"/>
    <tableColumn id="13" xr3:uid="{0215C3A8-1C7C-4CBC-8D7B-0901F068BF84}" name="60+Mins This Season" dataDxfId="490"/>
    <tableColumn id="14" xr3:uid="{82BD125B-F40A-4F5D-9011-3E4A5785250F}" name="Possible 60+Mins This Season" dataDxfId="489"/>
    <tableColumn id="15" xr3:uid="{856F0F95-F196-4108-AD38-2C1BFA210B79}" name="Price" dataDxfId="488"/>
    <tableColumn id="16" xr3:uid="{C75D48DC-F915-486E-B0C2-8E90183F9769}" name="Quality" dataDxfId="487">
      <calculatedColumnFormula>SOU_42[[#This Row],[xPoints Av.]]*SOU_42[[#This Row],[Regularity]]</calculatedColumnFormula>
    </tableColumn>
    <tableColumn id="17" xr3:uid="{539DD629-DDE2-478F-9AC0-3443BACE6078}" name="Team" dataDxfId="486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23507D-3945-46B4-AA2D-21751BE8E93B}" name="TOT_43" displayName="TOT_43" ref="A1:Q23" totalsRowShown="0" headerRowDxfId="485" dataDxfId="484">
  <autoFilter ref="A1:Q23" xr:uid="{3D23507D-3945-46B4-AA2D-21751BE8E93B}"/>
  <sortState xmlns:xlrd2="http://schemas.microsoft.com/office/spreadsheetml/2017/richdata2" ref="A2:Q23">
    <sortCondition ref="B1:B23"/>
  </sortState>
  <tableColumns count="17">
    <tableColumn id="1" xr3:uid="{0A432E1C-997D-44C4-8A3B-8729FE160E42}" name="Player" dataDxfId="483"/>
    <tableColumn id="2" xr3:uid="{953AC585-1291-4B76-B0E7-7FB51AB31177}" name="Pos." dataDxfId="482"/>
    <tableColumn id="3" xr3:uid="{E073F35D-DF48-44EE-ABB8-112C1E578989}" name="xPoints Av." dataDxfId="481">
      <calculatedColumnFormula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calculatedColumnFormula>
    </tableColumn>
    <tableColumn id="4" xr3:uid="{765592A2-4168-427F-BD19-C5FC1EFDCEC3}" name="Regularity" dataDxfId="480">
      <calculatedColumnFormula>(TOT_43[[#This Row],[60+Mins Last Season]]/TOT_43[[#This Row],[Possible 60+Mins Last Season]] * (38-MAX(GameRecord[GW]))/38) + (TOT_43[[#This Row],[60+Mins This Season]]/TOT_43[[#This Row],[Possible 60+Mins This Season]] * (MAX(GameRecord[GW]))/38)</calculatedColumnFormula>
    </tableColumn>
    <tableColumn id="5" xr3:uid="{ABC6EDE2-517B-43A4-BCA7-6C307F390E67}" name="xGp90 Last Season" dataDxfId="479"/>
    <tableColumn id="6" xr3:uid="{6E2FAD72-D457-43EA-B6C1-B3DAF39F5AB3}" name="xAp90 Last Season" dataDxfId="478"/>
    <tableColumn id="7" xr3:uid="{31A648F9-0A01-4AA2-B2B0-C80BE398025B}" name="CSp90 Last Season" dataDxfId="477"/>
    <tableColumn id="11" xr3:uid="{F1BF66BD-BC74-4411-983C-8262069C647A}" name="60+Mins Last Season" dataDxfId="476"/>
    <tableColumn id="12" xr3:uid="{CC29F6D1-3FDD-4508-8E31-C4A18C54F529}" name="Possible 60+Mins Last Season" dataDxfId="475"/>
    <tableColumn id="8" xr3:uid="{9A26F866-6CC8-4016-A28A-D7005710B9A4}" name="xGp90 This Season" dataDxfId="474"/>
    <tableColumn id="9" xr3:uid="{06BB31E9-F0A3-4C38-BD99-3D737A531866}" name="xAp90 This Season" dataDxfId="473"/>
    <tableColumn id="10" xr3:uid="{1C5704BA-5994-4B0F-BA2D-10B18E863BB4}" name="CSp90 This Season" dataDxfId="472"/>
    <tableColumn id="13" xr3:uid="{196F641B-2E8E-4E63-8436-4659FE601C5B}" name="60+Mins This Season" dataDxfId="471"/>
    <tableColumn id="14" xr3:uid="{CE3EFDA6-DBD5-4574-9F6F-EE0B76DF5A78}" name="Possible 60+Mins This Season" dataDxfId="470"/>
    <tableColumn id="15" xr3:uid="{576658EA-A559-4209-A92E-350D624046B4}" name="Price" dataDxfId="469"/>
    <tableColumn id="16" xr3:uid="{117CDAA0-A739-423F-8B09-5E9DA73D3EBA}" name="Quality" dataDxfId="468">
      <calculatedColumnFormula>TOT_43[[#This Row],[xPoints Av.]]*TOT_43[[#This Row],[Regularity]]</calculatedColumnFormula>
    </tableColumn>
    <tableColumn id="17" xr3:uid="{53C8BD5E-DC08-41C7-860D-20B409802870}" name="Team" dataDxfId="467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B5BF4A-06A7-411D-904D-C00792A9629F}" name="ARS_26" displayName="ARS_26" ref="A1:Q20" totalsRowShown="0" headerRowDxfId="796" dataDxfId="795">
  <autoFilter ref="A1:Q20" xr:uid="{B3B5BF4A-06A7-411D-904D-C00792A9629F}"/>
  <sortState xmlns:xlrd2="http://schemas.microsoft.com/office/spreadsheetml/2017/richdata2" ref="A2:P19">
    <sortCondition descending="1" ref="P2:P20"/>
  </sortState>
  <tableColumns count="17">
    <tableColumn id="1" xr3:uid="{09CA6891-B541-401A-8362-197E70CC5EF0}" name="Player" dataDxfId="794"/>
    <tableColumn id="2" xr3:uid="{57DF5C59-B7AA-4741-9091-C849DEA6AE7F}" name="Pos." dataDxfId="793"/>
    <tableColumn id="3" xr3:uid="{4B92F3B0-F6FE-47FA-BA0B-8D61B0C9C848}" name="xPoints Av." dataDxfId="792">
      <calculatedColumnFormula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calculatedColumnFormula>
    </tableColumn>
    <tableColumn id="4" xr3:uid="{3871359F-82AA-4C5B-A8AD-854E50C8353D}" name="Regularity" dataDxfId="791">
      <calculatedColumnFormula>(ARS_26[[#This Row],[60+Mins Last Season]]/ARS_26[[#This Row],[Possible 60+Mins Last Season]] * (38-MAX(GameRecord[GW]))/38) + (ARS_26[[#This Row],[60+Mins This Season]]/ARS_26[[#This Row],[Possible 60+Mins This Season]] * (MAX(GameRecord[GW]))/38)</calculatedColumnFormula>
    </tableColumn>
    <tableColumn id="5" xr3:uid="{85598358-3B6E-4D54-ACBE-1522E4726BEC}" name="xGp90 Last Season" dataDxfId="790"/>
    <tableColumn id="6" xr3:uid="{B2BCB5A1-C5B9-4D92-AC58-BA34538F8E8B}" name="xAp90 Last Season" dataDxfId="789"/>
    <tableColumn id="7" xr3:uid="{903D576B-DA0D-428D-9DD0-0780E933EB01}" name="CSp90 Last Season" dataDxfId="788">
      <calculatedColumnFormula>12/(3060/90)</calculatedColumnFormula>
    </tableColumn>
    <tableColumn id="11" xr3:uid="{12FA3D2E-28D3-42D3-BB46-9D8FC4698F32}" name="60+Mins Last Season" dataDxfId="787"/>
    <tableColumn id="12" xr3:uid="{B7C2B87C-8F64-4757-AC9E-4D8411725E20}" name="Possible 60+Mins Last Season" dataDxfId="786"/>
    <tableColumn id="8" xr3:uid="{6AD0E0FB-1A2E-4E07-852B-38FC6013085B}" name="xGp90 This Season" dataDxfId="785"/>
    <tableColumn id="9" xr3:uid="{D5436B27-7248-4E30-B685-207BF52D3E24}" name="xAp90 This Season" dataDxfId="784"/>
    <tableColumn id="10" xr3:uid="{28A29C39-C55A-487A-A6A8-AE734A0A1C54}" name="CSp90 This Season" dataDxfId="783"/>
    <tableColumn id="13" xr3:uid="{3BF15EE9-8483-4847-88C4-111D2079A791}" name="60+Mins This Season" dataDxfId="782"/>
    <tableColumn id="14" xr3:uid="{26B80AFA-1401-429B-A929-01785F70FE95}" name="Possible 60+Mins This Season" dataDxfId="781"/>
    <tableColumn id="15" xr3:uid="{5E45351B-E40C-4AA7-8FD3-410DBEBB5D73}" name="Price" dataDxfId="780"/>
    <tableColumn id="16" xr3:uid="{94B4E80B-9933-48D9-8EB8-8476BDBA9F0A}" name="Quality" dataDxfId="779">
      <calculatedColumnFormula>ARS_26[[#This Row],[xPoints Av.]]*ARS_26[[#This Row],[Regularity]]</calculatedColumnFormula>
    </tableColumn>
    <tableColumn id="17" xr3:uid="{8BABB8CF-1FFA-4826-BF71-02740BC67F1B}" name="Team" dataDxfId="778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9B935C-D087-4EB7-9D64-49BF09B026E4}" name="WHU_44" displayName="WHU_44" ref="A1:Q16" totalsRowShown="0" headerRowDxfId="466" dataDxfId="465">
  <autoFilter ref="A1:Q16" xr:uid="{4D9B935C-D087-4EB7-9D64-49BF09B026E4}"/>
  <sortState xmlns:xlrd2="http://schemas.microsoft.com/office/spreadsheetml/2017/richdata2" ref="A2:Q16">
    <sortCondition ref="B1:B16"/>
  </sortState>
  <tableColumns count="17">
    <tableColumn id="1" xr3:uid="{3539F574-0239-45D5-ACFB-EBB4E673B19E}" name="Player" dataDxfId="464"/>
    <tableColumn id="2" xr3:uid="{635EBC63-984D-4C5D-83ED-45FD7C67C2F6}" name="Pos." dataDxfId="463"/>
    <tableColumn id="3" xr3:uid="{720E2DE4-3F90-424C-A28B-697C4F70C72A}" name="xPoints Av." dataDxfId="462">
      <calculatedColumnFormula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calculatedColumnFormula>
    </tableColumn>
    <tableColumn id="4" xr3:uid="{F191218D-E528-41D1-BDD0-99BCABAE0F4F}" name="Regularity" dataDxfId="461">
      <calculatedColumnFormula>(WHU_44[[#This Row],[60+Mins Last Season]]/WHU_44[[#This Row],[Possible 60+Mins Last Season]] * (38-MAX(GameRecord[GW]))/38) + (WHU_44[[#This Row],[60+Mins This Season]]/WHU_44[[#This Row],[Possible 60+Mins This Season]] * (MAX(GameRecord[GW]))/38)</calculatedColumnFormula>
    </tableColumn>
    <tableColumn id="5" xr3:uid="{7A43CE83-F3CF-400C-88F0-2417AC2EDB98}" name="xGp90 Last Season" dataDxfId="460"/>
    <tableColumn id="6" xr3:uid="{B0E7B8FD-EDA2-4876-8F99-EF8370F93B5D}" name="xAp90 Last Season" dataDxfId="459"/>
    <tableColumn id="7" xr3:uid="{639AC1DF-B5C5-4920-B0D7-32400E7F9C08}" name="CSp90 Last Season" dataDxfId="458"/>
    <tableColumn id="11" xr3:uid="{9E5166DA-DF07-4618-A2AD-6ECDAC78A21D}" name="60+Mins Last Season" dataDxfId="457"/>
    <tableColumn id="12" xr3:uid="{9470CF2C-92A7-4CB5-B1C8-C3B60E3B59A8}" name="Possible 60+Mins Last Season" dataDxfId="456"/>
    <tableColumn id="8" xr3:uid="{5E0F7764-C8FC-425C-B191-70308B0BF055}" name="xGp90 This Season" dataDxfId="455"/>
    <tableColumn id="9" xr3:uid="{CD1C264A-7854-4A9E-AF7A-896549F1D815}" name="xAp90 This Season" dataDxfId="454"/>
    <tableColumn id="10" xr3:uid="{7D772B57-3713-4CD2-B60B-43220E3B687F}" name="CSp90 This Season" dataDxfId="453"/>
    <tableColumn id="13" xr3:uid="{E5501A41-4FC0-4766-9CD3-C53CDFE807F0}" name="60+Mins This Season" dataDxfId="452"/>
    <tableColumn id="14" xr3:uid="{3908014D-3DAF-496E-8EA7-10176F6E11D1}" name="Possible 60+Mins This Season" dataDxfId="451"/>
    <tableColumn id="15" xr3:uid="{8486F134-DCAD-42AA-A7A4-84316714BDC7}" name="Price" dataDxfId="450"/>
    <tableColumn id="16" xr3:uid="{D4C82F7F-3B33-4C6E-9F22-A92537096813}" name="Quality" dataDxfId="449">
      <calculatedColumnFormula>WHU_44[[#This Row],[xPoints Av.]]*WHU_44[[#This Row],[Regularity]]</calculatedColumnFormula>
    </tableColumn>
    <tableColumn id="17" xr3:uid="{04CFA457-A810-4B36-BE53-771EB81F66D8}" name="Team" dataDxfId="448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04C3FF0-BA22-4F72-8C2E-3EB5FF6F91AA}" name="WOL_45" displayName="WOL_45" ref="A1:Q16" totalsRowShown="0" headerRowDxfId="447" dataDxfId="446">
  <autoFilter ref="A1:Q16" xr:uid="{E04C3FF0-BA22-4F72-8C2E-3EB5FF6F91AA}"/>
  <sortState xmlns:xlrd2="http://schemas.microsoft.com/office/spreadsheetml/2017/richdata2" ref="A2:Q16">
    <sortCondition ref="B1:B16"/>
  </sortState>
  <tableColumns count="17">
    <tableColumn id="1" xr3:uid="{D13200A3-E2BE-4CCD-9AA8-190111A06CB2}" name="Player" dataDxfId="445"/>
    <tableColumn id="2" xr3:uid="{259C239B-3944-4923-883D-325AEDA5C698}" name="Pos." dataDxfId="444"/>
    <tableColumn id="3" xr3:uid="{AE4E2840-BFF7-4E8A-A6BD-B48BB90998F8}" name="xPoints Av." dataDxfId="443">
      <calculatedColumnFormula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calculatedColumnFormula>
    </tableColumn>
    <tableColumn id="4" xr3:uid="{347C23FC-D79E-4665-93A2-9DABFB63100F}" name="Regularity" dataDxfId="442">
      <calculatedColumnFormula>(WOL_45[[#This Row],[60+Mins Last Season]]/WOL_45[[#This Row],[Possible 60+Mins Last Season]] * (38-MAX(GameRecord[GW]))/38) + (WOL_45[[#This Row],[60+Mins This Season]]/WOL_45[[#This Row],[Possible 60+Mins This Season]] * (MAX(GameRecord[GW]))/38)</calculatedColumnFormula>
    </tableColumn>
    <tableColumn id="5" xr3:uid="{7EEE0A3A-5431-4C0F-BECF-73CC7C4B3545}" name="xGp90 Last Season" dataDxfId="441"/>
    <tableColumn id="6" xr3:uid="{C695AE94-CC14-414B-9476-1837EFCB1EF5}" name="xAp90 Last Season" dataDxfId="440"/>
    <tableColumn id="7" xr3:uid="{8D0A5B11-BEE2-4B43-9669-43087E55D3FA}" name="CSp90 Last Season" dataDxfId="439"/>
    <tableColumn id="11" xr3:uid="{99885C28-BD8F-4895-B167-D5BA1B0D7A2F}" name="60+Mins Last Season" dataDxfId="438"/>
    <tableColumn id="12" xr3:uid="{27A97B1C-31E3-414B-A6F1-786BCFCF76CA}" name="Possible 60+Mins Last Season" dataDxfId="437"/>
    <tableColumn id="8" xr3:uid="{4E80FFDC-CF1B-46AB-8293-5AC3B4780489}" name="xGp90 This Season" dataDxfId="436"/>
    <tableColumn id="9" xr3:uid="{CAC68A88-9718-41B1-86F6-A7251DD15D25}" name="xAp90 This Season" dataDxfId="435"/>
    <tableColumn id="10" xr3:uid="{BBD52E3D-A630-44DD-99A1-C1C308AA56D2}" name="CSp90 This Season" dataDxfId="434"/>
    <tableColumn id="13" xr3:uid="{9B180D95-F7C9-41D7-81A3-E4E5C7873B76}" name="60+Mins This Season" dataDxfId="433"/>
    <tableColumn id="14" xr3:uid="{5D1C6445-E149-4279-8296-C499EB7557EB}" name="Possible 60+Mins This Season" dataDxfId="432"/>
    <tableColumn id="15" xr3:uid="{E764C44B-2352-45DF-8747-2C1F01236990}" name="Price" dataDxfId="431"/>
    <tableColumn id="16" xr3:uid="{7AA4ED9D-9CF2-4D63-B274-D2113377FCFB}" name="Quality" dataDxfId="430">
      <calculatedColumnFormula>WOL_45[[#This Row],[xPoints Av.]]*WOL_45[[#This Row],[Regularity]]</calculatedColumnFormula>
    </tableColumn>
    <tableColumn id="17" xr3:uid="{E3CBE6A0-9448-49A4-AE61-D1F1F2120738}" name="Team" dataDxfId="429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6619D-125D-4FFE-B082-7DEFFA2154B0}" name="ARS" displayName="ARS" ref="A2:Q20" totalsRowShown="0" headerRowDxfId="428" dataDxfId="427">
  <autoFilter ref="A2:Q20" xr:uid="{01B6619D-125D-4FFE-B082-7DEFFA2154B0}"/>
  <sortState xmlns:xlrd2="http://schemas.microsoft.com/office/spreadsheetml/2017/richdata2" ref="A3:P20">
    <sortCondition descending="1" ref="P2:P20"/>
  </sortState>
  <tableColumns count="17">
    <tableColumn id="1" xr3:uid="{6BAD5E17-B356-49B7-8AA0-CD94B6D196A0}" name="Player" dataDxfId="426"/>
    <tableColumn id="2" xr3:uid="{EA4CDE10-D852-4142-9BBE-7CEC353D89C1}" name="Pos." dataDxfId="425"/>
    <tableColumn id="3" xr3:uid="{0A8EDE3C-5627-433F-A47D-BD23DFEFD22C}" name="xPoints Av." dataDxfId="424">
      <calculatedColumnFormula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calculatedColumnFormula>
    </tableColumn>
    <tableColumn id="4" xr3:uid="{282F59E0-2BD5-441E-9D3F-5FFCFFF6D22E}" name="Regularity" dataDxfId="423">
      <calculatedColumnFormula>(ARS[[#This Row],[60+Mins Last Season]]/ARS[[#This Row],[Possible 60+Mins Last Season]] * (38-MAX(GameRecord[GW]))/38) + (ARS[[#This Row],[60+Mins This Season]]/ARS[[#This Row],[Possible 60+Mins This Season]] * (MAX(GameRecord[GW]))/38)</calculatedColumnFormula>
    </tableColumn>
    <tableColumn id="5" xr3:uid="{E03C470A-00F5-4CD3-98A5-258B0A21BCE6}" name="xGp90 Last Season" dataDxfId="422"/>
    <tableColumn id="6" xr3:uid="{927D5C31-F857-4D07-B6D4-6D82C0714916}" name="xAp90 Last Season" dataDxfId="421"/>
    <tableColumn id="7" xr3:uid="{DCD3E584-5CFD-47AC-8F4A-1A82D37491C4}" name="CSp90 Last Season" dataDxfId="420">
      <calculatedColumnFormula>12/(3060/90)</calculatedColumnFormula>
    </tableColumn>
    <tableColumn id="11" xr3:uid="{7193FD69-920E-4308-A2BA-92936D9C3499}" name="60+Mins Last Season" dataDxfId="419"/>
    <tableColumn id="12" xr3:uid="{FE6DAE95-AB69-4582-831A-D0552EDA1318}" name="Possible 60+Mins Last Season" dataDxfId="418"/>
    <tableColumn id="8" xr3:uid="{8A1A4EDB-1C56-47A9-A0DE-7CC04BC53553}" name="xGp90 This Season" dataDxfId="417"/>
    <tableColumn id="9" xr3:uid="{BD32C07C-1CD4-45C9-9082-E6D72D18379A}" name="xAp90 This Season" dataDxfId="416"/>
    <tableColumn id="10" xr3:uid="{6F496F56-6003-4617-A59D-373F66BD07F2}" name="CSp90 This Season" dataDxfId="415"/>
    <tableColumn id="13" xr3:uid="{9D35213E-A92A-4C98-B02E-0F34858A5F24}" name="60+Mins This Season" dataDxfId="414"/>
    <tableColumn id="14" xr3:uid="{63024A62-D3D8-4BB1-8FBF-943C7D4CC12D}" name="Possible 60+Mins This Season" dataDxfId="413"/>
    <tableColumn id="15" xr3:uid="{5EBFF7DA-D4CB-4D60-8DE3-9452911434E4}" name="Price" dataDxfId="412"/>
    <tableColumn id="16" xr3:uid="{079B88F7-944E-4188-85FB-8A4D36D79DFB}" name="Quality" dataDxfId="411">
      <calculatedColumnFormula>ARS[[#This Row],[xPoints Av.]]*ARS[[#This Row],[Regularity]]</calculatedColumnFormula>
    </tableColumn>
    <tableColumn id="17" xr3:uid="{C33AC4FD-0F96-4E48-9243-88C8FA0EB613}" name="Team" dataDxfId="410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8935ED-5928-4518-A42A-15C45C3C8FFD}" name="AVL" displayName="AVL" ref="A23:Q42" totalsRowShown="0" headerRowDxfId="409" dataDxfId="408">
  <autoFilter ref="A23:Q42" xr:uid="{AC8935ED-5928-4518-A42A-15C45C3C8FFD}"/>
  <sortState xmlns:xlrd2="http://schemas.microsoft.com/office/spreadsheetml/2017/richdata2" ref="A24:Q42">
    <sortCondition descending="1" ref="P23:P42"/>
  </sortState>
  <tableColumns count="17">
    <tableColumn id="1" xr3:uid="{EC4C7DA7-4F79-4205-8D10-934AF06C7DC7}" name="Player" dataDxfId="407"/>
    <tableColumn id="2" xr3:uid="{873DC17D-AFAB-4B39-8A8E-B3740285CCA0}" name="Pos." dataDxfId="406"/>
    <tableColumn id="3" xr3:uid="{C8FB77BC-A671-4DD3-AAB7-4BEB80B78E07}" name="xPoints Av." dataDxfId="405">
      <calculatedColumnFormula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calculatedColumnFormula>
    </tableColumn>
    <tableColumn id="4" xr3:uid="{7ECC26A9-16ED-4479-BE2E-AD5F3A6BE725}" name="Regularity" dataDxfId="404">
      <calculatedColumnFormula>(AVL[[#This Row],[60+Mins Last Season]]/AVL[[#This Row],[Possible 60+Mins Last Season]] * (38-MAX(GameRecord[GW]))/38) + (AVL[[#This Row],[60+Mins This Season]]/AVL[[#This Row],[Possible 60+Mins This Season]] * (MAX(GameRecord[GW]))/38)</calculatedColumnFormula>
    </tableColumn>
    <tableColumn id="5" xr3:uid="{6D15E1C8-B883-4FA1-96B1-452371A06D2C}" name="xGp90 Last Season" dataDxfId="403"/>
    <tableColumn id="6" xr3:uid="{5CDDDB68-EA36-4848-B937-99A69AC203F9}" name="xAp90 Last Season" dataDxfId="402"/>
    <tableColumn id="7" xr3:uid="{1B6F29D6-72D3-4DAE-9ECE-5A48CE01C44A}" name="CSp90 Last Season" dataDxfId="401">
      <calculatedColumnFormula>11/(3240/90)</calculatedColumnFormula>
    </tableColumn>
    <tableColumn id="11" xr3:uid="{787AFB1E-4146-4CF9-B1EC-8147F708A561}" name="60+Mins Last Season" dataDxfId="400"/>
    <tableColumn id="12" xr3:uid="{CA80BA95-F9C7-4442-A2D1-68CAE3292AAA}" name="Possible 60+Mins Last Season" dataDxfId="399"/>
    <tableColumn id="8" xr3:uid="{987A0F40-2EFE-446D-95D9-DFC1CAC6BE9D}" name="xGp90 This Season" dataDxfId="398"/>
    <tableColumn id="9" xr3:uid="{CBD63C23-0CC4-4270-842B-C4DCA82C27E1}" name="xAp90 This Season" dataDxfId="397"/>
    <tableColumn id="10" xr3:uid="{F8D8D0EA-0111-4748-BDB2-DA8C108A9A26}" name="CSp90 This Season" dataDxfId="396"/>
    <tableColumn id="13" xr3:uid="{B09FEB3D-D63A-4558-93AB-EE68E14D0D87}" name="60+Mins This Season" dataDxfId="395"/>
    <tableColumn id="14" xr3:uid="{A987077C-1E79-445E-B244-CD40ADAF7C01}" name="Possible 60+Mins This Season" dataDxfId="394"/>
    <tableColumn id="15" xr3:uid="{8B01DD29-2994-4638-A853-CB9A54058174}" name="Price" dataDxfId="393"/>
    <tableColumn id="16" xr3:uid="{C39A520E-131E-48B4-BD0D-F28153302327}" name="Quality" dataDxfId="392">
      <calculatedColumnFormula>AVL[[#This Row],[xPoints Av.]]*AVL[[#This Row],[Regularity]]</calculatedColumnFormula>
    </tableColumn>
    <tableColumn id="17" xr3:uid="{29A35E43-A75C-4FD6-8EA4-57FFC1994A88}" name="Team" dataDxfId="391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0F0A9-537C-4C45-B50A-DCA927932F81}" name="BRE" displayName="BRE" ref="A45:Q61" totalsRowShown="0" headerRowDxfId="390" dataDxfId="389">
  <autoFilter ref="A45:Q61" xr:uid="{51E0F0A9-537C-4C45-B50A-DCA927932F81}"/>
  <sortState xmlns:xlrd2="http://schemas.microsoft.com/office/spreadsheetml/2017/richdata2" ref="A46:Q61">
    <sortCondition descending="1" ref="P45:P61"/>
  </sortState>
  <tableColumns count="17">
    <tableColumn id="1" xr3:uid="{F51A1F9F-8E8D-4265-99A0-10A39B47E7EB}" name="Player" dataDxfId="388"/>
    <tableColumn id="2" xr3:uid="{0667C5B2-63A0-4FDA-A9E9-3B29665DE3D6}" name="Pos." dataDxfId="387"/>
    <tableColumn id="3" xr3:uid="{A6131185-29A7-4F15-B19D-E751D2153B14}" name="xPoints Av." dataDxfId="386">
      <calculatedColumnFormula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calculatedColumnFormula>
    </tableColumn>
    <tableColumn id="4" xr3:uid="{7313E85E-9A68-416D-BAC4-57BFACDECA97}" name="Regularity" dataDxfId="385">
      <calculatedColumnFormula>(BRE[[#This Row],[60+Mins Last Season]]/BRE[[#This Row],[Possible 60+Mins Last Season]] * (38-MAX(GameRecord[GW]))/38) + (BRE[[#This Row],[60+Mins This Season]]/BRE[[#This Row],[Possible 60+Mins This Season]] * (MAX(GameRecord[GW]))/38)</calculatedColumnFormula>
    </tableColumn>
    <tableColumn id="5" xr3:uid="{F07A4B1A-6C20-42BD-BFFB-D77C70398BC7}" name="xGp90 Last Season" dataDxfId="384"/>
    <tableColumn id="6" xr3:uid="{2DDC3A47-8D8C-4FC6-8D67-B6C78005E80F}" name="xAp90 Last Season" dataDxfId="383"/>
    <tableColumn id="7" xr3:uid="{E2B212BB-14E0-4E4F-A18E-202096716D42}" name="CSp90 Last Season" dataDxfId="382">
      <calculatedColumnFormula>8/(2160/90)</calculatedColumnFormula>
    </tableColumn>
    <tableColumn id="11" xr3:uid="{FF30E1FC-8572-4915-BA77-E1CA5ECBF7F9}" name="60+Mins Last Season" dataDxfId="381"/>
    <tableColumn id="12" xr3:uid="{DE61027E-B9A6-4341-A72C-E717DF5ED4D2}" name="Possible 60+Mins Last Season" dataDxfId="380"/>
    <tableColumn id="8" xr3:uid="{5ABB0B03-BBC8-4E9B-A555-57FA833BC7A8}" name="xGp90 This Season" dataDxfId="379"/>
    <tableColumn id="9" xr3:uid="{9809B74B-C216-4069-89CA-938875743C1E}" name="xAp90 This Season" dataDxfId="378"/>
    <tableColumn id="10" xr3:uid="{8C48FD99-DDAD-4DA2-9ADE-6950D0DA6F08}" name="CSp90 This Season" dataDxfId="377"/>
    <tableColumn id="13" xr3:uid="{BE7EDFC5-0B5F-4D8F-8A44-B43EC254CD09}" name="60+Mins This Season" dataDxfId="376"/>
    <tableColumn id="14" xr3:uid="{A078F3E3-C8F1-42B1-BE48-D0DD35A206A5}" name="Possible 60+Mins This Season" dataDxfId="375"/>
    <tableColumn id="15" xr3:uid="{1757E204-546C-4EB2-92A3-E4E603A256B5}" name="Price" dataDxfId="374"/>
    <tableColumn id="16" xr3:uid="{566AA55A-02B1-4690-AEEE-69929832F603}" name="Quality" dataDxfId="373">
      <calculatedColumnFormula>BRE[[#This Row],[xPoints Av.]]*BRE[[#This Row],[Regularity]]</calculatedColumnFormula>
    </tableColumn>
    <tableColumn id="17" xr3:uid="{2D5BE65C-CE95-4BAE-AF10-F7ED4D864C77}" name="Team" dataDxfId="372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7F1665-2BB0-4651-AE3E-55DE71FDFE13}" name="BHA" displayName="BHA" ref="A64:Q80" totalsRowShown="0" headerRowDxfId="371" dataDxfId="370">
  <autoFilter ref="A64:Q80" xr:uid="{DF7F1665-2BB0-4651-AE3E-55DE71FDFE13}"/>
  <sortState xmlns:xlrd2="http://schemas.microsoft.com/office/spreadsheetml/2017/richdata2" ref="A65:Q80">
    <sortCondition descending="1" ref="P64:P80"/>
  </sortState>
  <tableColumns count="17">
    <tableColumn id="1" xr3:uid="{6853C465-20DF-4E9A-A910-F93B3DC755EA}" name="Player" dataDxfId="369"/>
    <tableColumn id="2" xr3:uid="{7946EE36-81FB-4CF9-8417-C5E85AA8F734}" name="Pos." dataDxfId="368"/>
    <tableColumn id="3" xr3:uid="{D434DBA6-8804-48AF-B4E5-2925A3F3FEF3}" name="xPoints Av." dataDxfId="367">
      <calculatedColumnFormula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calculatedColumnFormula>
    </tableColumn>
    <tableColumn id="4" xr3:uid="{E46CDE50-F42C-486D-9ADE-A21E2E251D73}" name="Regularity" dataDxfId="366">
      <calculatedColumnFormula>(BHA[[#This Row],[60+Mins Last Season]]/BHA[[#This Row],[Possible 60+Mins Last Season]] * (38-MAX(GameRecord[GW]))/38) + (BHA[[#This Row],[60+Mins This Season]]/BHA[[#This Row],[Possible 60+Mins This Season]] * (MAX(GameRecord[GW]))/38)</calculatedColumnFormula>
    </tableColumn>
    <tableColumn id="5" xr3:uid="{29EBC49A-25D8-4E67-9138-2C946C03B47D}" name="xGp90 Last Season" dataDxfId="365"/>
    <tableColumn id="6" xr3:uid="{B86DF37E-8A77-4F78-A967-FEB35C7FFE5A}" name="xAp90 Last Season" dataDxfId="364"/>
    <tableColumn id="7" xr3:uid="{2B839A61-5F73-481F-A423-D7C73BF4468F}" name="CSp90 Last Season" dataDxfId="363">
      <calculatedColumnFormula>11/(3330/90)</calculatedColumnFormula>
    </tableColumn>
    <tableColumn id="11" xr3:uid="{E267E6A3-D767-41F6-8229-B49BA2F5C468}" name="60+Mins Last Season" dataDxfId="362"/>
    <tableColumn id="12" xr3:uid="{77AE5743-DD0D-492F-9A6A-F488AB5D1F6B}" name="Possible 60+Mins Last Season" dataDxfId="361"/>
    <tableColumn id="8" xr3:uid="{98104230-2D6B-4904-92AE-B995C862DB38}" name="xGp90 This Season" dataDxfId="360"/>
    <tableColumn id="9" xr3:uid="{34411F63-B2DE-45F5-ACC8-B0F5A2B50A08}" name="xAp90 This Season" dataDxfId="359"/>
    <tableColumn id="10" xr3:uid="{8DFD27C4-4D04-45EE-9D01-D17B7219F65D}" name="CSp90 This Season" dataDxfId="358"/>
    <tableColumn id="13" xr3:uid="{2720C8C0-6BB2-4E30-A0CE-0C2C02BF21DA}" name="60+Mins This Season" dataDxfId="357"/>
    <tableColumn id="14" xr3:uid="{882189C1-C326-40C1-AE3D-3B6C4FC7F38B}" name="Possible 60+Mins This Season" dataDxfId="356"/>
    <tableColumn id="15" xr3:uid="{3F12DC48-7C90-4E0B-AAC9-22E6065324BD}" name="Price" dataDxfId="355"/>
    <tableColumn id="16" xr3:uid="{9412E04D-9665-4079-8822-D16E52BC3A54}" name="Quality" dataDxfId="354">
      <calculatedColumnFormula>BHA[[#This Row],[xPoints Av.]]*BHA[[#This Row],[Regularity]]</calculatedColumnFormula>
    </tableColumn>
    <tableColumn id="17" xr3:uid="{D585FACF-C192-4233-B198-DCE9F856EB6D}" name="Team" dataDxfId="353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12345-EA56-42E9-9694-7D3FE97231A8}" name="CHE" displayName="CHE" ref="A83:Q102" totalsRowShown="0" headerRowDxfId="352" dataDxfId="351">
  <autoFilter ref="A83:Q102" xr:uid="{38B12345-EA56-42E9-9694-7D3FE97231A8}"/>
  <sortState xmlns:xlrd2="http://schemas.microsoft.com/office/spreadsheetml/2017/richdata2" ref="A84:Q102">
    <sortCondition descending="1" ref="P83:P102"/>
  </sortState>
  <tableColumns count="17">
    <tableColumn id="1" xr3:uid="{42E25E2D-BE26-4B75-98A2-91DEDA17EF4A}" name="Player" dataDxfId="350"/>
    <tableColumn id="2" xr3:uid="{DB10B7B7-0EDE-4B94-82B4-1E8F4F5D9650}" name="Pos." dataDxfId="349"/>
    <tableColumn id="3" xr3:uid="{25E310C8-F92A-499A-9A18-D4637C552720}" name="xPoints Av." dataDxfId="348">
      <calculatedColumnFormula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calculatedColumnFormula>
    </tableColumn>
    <tableColumn id="4" xr3:uid="{25C68DED-702F-4066-B7D9-952A48719A5E}" name="Regularity" dataDxfId="347">
      <calculatedColumnFormula>(CHE[[#This Row],[60+Mins Last Season]]/CHE[[#This Row],[Possible 60+Mins Last Season]] * (38-MAX(GameRecord[GW]))/38) + (CHE[[#This Row],[60+Mins This Season]]/CHE[[#This Row],[Possible 60+Mins This Season]] * (MAX(GameRecord[GW]))/38)</calculatedColumnFormula>
    </tableColumn>
    <tableColumn id="5" xr3:uid="{15B5F30A-F5AB-4F23-905E-69437F3C2A07}" name="xGp90 Last Season" dataDxfId="346"/>
    <tableColumn id="6" xr3:uid="{0A4DC434-4F38-4081-9B83-B3B3160EDEB2}" name="xAp90 Last Season" dataDxfId="345"/>
    <tableColumn id="7" xr3:uid="{5D10538D-EFFF-4564-921F-6915B4C6D73D}" name="CSp90 Last Season" dataDxfId="344">
      <calculatedColumnFormula>14/(3060/90)</calculatedColumnFormula>
    </tableColumn>
    <tableColumn id="11" xr3:uid="{4E1CC0DC-7CB1-4074-BDE3-827DC94D1102}" name="60+Mins Last Season" dataDxfId="343"/>
    <tableColumn id="12" xr3:uid="{CEFC871C-A6C6-4E3F-9054-187C41EFC978}" name="Possible 60+Mins Last Season" dataDxfId="342"/>
    <tableColumn id="8" xr3:uid="{8B0452BC-B916-4409-B385-2B8E6D9AED4E}" name="xGp90 This Season" dataDxfId="341"/>
    <tableColumn id="9" xr3:uid="{151C1A92-2017-4DF0-997F-4F1479A0AA42}" name="xAp90 This Season" dataDxfId="340"/>
    <tableColumn id="10" xr3:uid="{6B755D55-B738-4510-95C8-27C5BC119163}" name="CSp90 This Season" dataDxfId="339"/>
    <tableColumn id="13" xr3:uid="{EE492298-3C3C-4617-915A-EA35D674893C}" name="60+Mins This Season" dataDxfId="338"/>
    <tableColumn id="14" xr3:uid="{D16111BC-5166-4552-8EA7-509C14752F28}" name="Possible 60+Mins This Season" dataDxfId="337"/>
    <tableColumn id="15" xr3:uid="{AF594862-8532-48C7-9EC9-67418A269D3F}" name="Price" dataDxfId="336"/>
    <tableColumn id="16" xr3:uid="{6F3B7733-3783-41D0-A6CD-FC8691CAB169}" name="Quality" dataDxfId="335">
      <calculatedColumnFormula>CHE[[#This Row],[xPoints Av.]]*CHE[[#This Row],[Regularity]]</calculatedColumnFormula>
    </tableColumn>
    <tableColumn id="17" xr3:uid="{D1D3960F-88E9-4289-8797-F7A74B5A7F55}" name="Team" dataDxfId="334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F3A1C4-0332-449E-B301-581396A7B99C}" name="CRY" displayName="CRY" ref="A105:Q121" totalsRowShown="0" headerRowDxfId="333" dataDxfId="332">
  <autoFilter ref="A105:Q121" xr:uid="{5FF3A1C4-0332-449E-B301-581396A7B99C}"/>
  <sortState xmlns:xlrd2="http://schemas.microsoft.com/office/spreadsheetml/2017/richdata2" ref="A106:Q121">
    <sortCondition descending="1" ref="P105:P121"/>
  </sortState>
  <tableColumns count="17">
    <tableColumn id="1" xr3:uid="{9FDD8E5F-B8B5-4926-A197-A5B31ADCEE6A}" name="Player" dataDxfId="331"/>
    <tableColumn id="2" xr3:uid="{70D91094-1A46-4FD3-8A5D-A4659353A44E}" name="Pos." dataDxfId="330"/>
    <tableColumn id="3" xr3:uid="{4D7B5AF2-6FB3-4A2E-958E-BFF98D72F6D4}" name="xPoints Av." dataDxfId="329">
      <calculatedColumnFormula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calculatedColumnFormula>
    </tableColumn>
    <tableColumn id="4" xr3:uid="{86BA449C-545A-4488-AD9F-579495900156}" name="Regularity" dataDxfId="328">
      <calculatedColumnFormula>(CRY[[#This Row],[60+Mins Last Season]]/CRY[[#This Row],[Possible 60+Mins Last Season]] * (38-MAX(GameRecord[GW]))/38) + (CRY[[#This Row],[60+Mins This Season]]/CRY[[#This Row],[Possible 60+Mins This Season]] * (MAX(GameRecord[GW]))/38)</calculatedColumnFormula>
    </tableColumn>
    <tableColumn id="5" xr3:uid="{5AFF9995-ABD2-4798-9444-64752C226347}" name="xGp90 Last Season" dataDxfId="327"/>
    <tableColumn id="6" xr3:uid="{E11CD661-165A-41F1-BEC1-0FCA90B1EB28}" name="xAp90 Last Season" dataDxfId="326"/>
    <tableColumn id="7" xr3:uid="{49910955-52D3-49B9-AC48-553C3E27B506}" name="CSp90 Last Season" dataDxfId="325"/>
    <tableColumn id="11" xr3:uid="{EEEE2EF0-6157-4F6A-9AAA-0AABD1009CC5}" name="60+Mins Last Season" dataDxfId="324"/>
    <tableColumn id="12" xr3:uid="{8690F6D9-3A44-432E-9590-C1D5C7FB48B2}" name="Possible 60+Mins Last Season" dataDxfId="323"/>
    <tableColumn id="8" xr3:uid="{4CB33ABD-B456-43AB-91D2-F720640E5B9A}" name="xGp90 This Season" dataDxfId="322"/>
    <tableColumn id="9" xr3:uid="{B2A5F8B3-C9CE-47D9-96D0-244BFDB08036}" name="xAp90 This Season" dataDxfId="321"/>
    <tableColumn id="10" xr3:uid="{11895449-D8CE-404A-ADAA-A182759DE152}" name="CSp90 This Season" dataDxfId="320"/>
    <tableColumn id="13" xr3:uid="{30E357FA-4D9F-42D7-B337-5FF3EDB4F295}" name="60+Mins This Season" dataDxfId="319"/>
    <tableColumn id="14" xr3:uid="{73A85E73-1406-4F8C-A181-93B28DDCC386}" name="Possible 60+Mins This Season" dataDxfId="318"/>
    <tableColumn id="15" xr3:uid="{54454009-E52C-46C9-87EA-A723BC9B9401}" name="Price" dataDxfId="317"/>
    <tableColumn id="16" xr3:uid="{8FFF30FC-B517-4DFC-B255-6CA1F1932E12}" name="Quality" dataDxfId="316">
      <calculatedColumnFormula>CRY[[#This Row],[xPoints Av.]]*CRY[[#This Row],[Regularity]]</calculatedColumnFormula>
    </tableColumn>
    <tableColumn id="17" xr3:uid="{6144A659-BE50-4E7F-9786-1E099A511702}" name="Team" dataDxfId="315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B3863-9E55-4ABD-AFB2-05E837C95078}" name="EVE" displayName="EVE" ref="A124:Q141" totalsRowShown="0" headerRowDxfId="314" dataDxfId="313">
  <autoFilter ref="A124:Q141" xr:uid="{4ECB3863-9E55-4ABD-AFB2-05E837C95078}"/>
  <sortState xmlns:xlrd2="http://schemas.microsoft.com/office/spreadsheetml/2017/richdata2" ref="A125:Q141">
    <sortCondition descending="1" ref="P124:P141"/>
  </sortState>
  <tableColumns count="17">
    <tableColumn id="1" xr3:uid="{B1DAA8E1-3DBB-4349-A5BC-B8BB1715ECF2}" name="Player" dataDxfId="312"/>
    <tableColumn id="2" xr3:uid="{15AAF4A8-C205-4228-A8CC-F2E0AD567337}" name="Pos." dataDxfId="311"/>
    <tableColumn id="3" xr3:uid="{5363E6EC-BE10-43B8-B3B7-45D5D24BC546}" name="xPoints Av." dataDxfId="310">
      <calculatedColumnFormula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calculatedColumnFormula>
    </tableColumn>
    <tableColumn id="4" xr3:uid="{DB1F46D2-B6F8-424B-8242-45F712867E90}" name="Regularity" dataDxfId="309">
      <calculatedColumnFormula>(EVE[[#This Row],[60+Mins Last Season]]/EVE[[#This Row],[Possible 60+Mins Last Season]] * (38-MAX(GameRecord[GW]))/38) + (EVE[[#This Row],[60+Mins This Season]]/EVE[[#This Row],[Possible 60+Mins This Season]] * (MAX(GameRecord[GW]))/38)</calculatedColumnFormula>
    </tableColumn>
    <tableColumn id="5" xr3:uid="{BFED6985-7E03-462E-9A25-68E83C191559}" name="xGp90 Last Season" dataDxfId="308"/>
    <tableColumn id="6" xr3:uid="{83FEEEFB-B4FA-4C35-ACD3-133790ADB7B0}" name="xAp90 Last Season" dataDxfId="307"/>
    <tableColumn id="7" xr3:uid="{3C6B1062-0970-4FDA-9742-9A3957C366C7}" name="CSp90 Last Season" dataDxfId="306"/>
    <tableColumn id="11" xr3:uid="{B6895A12-7D7F-4A88-B625-EC5AE64FFA13}" name="60+Mins Last Season" dataDxfId="305"/>
    <tableColumn id="12" xr3:uid="{486E1E12-A9DF-4C77-A4DE-8BDFDEF1A1BA}" name="Possible 60+Mins Last Season" dataDxfId="304"/>
    <tableColumn id="8" xr3:uid="{8DD26B95-B295-4D42-9F77-342E65395615}" name="xGp90 This Season" dataDxfId="303"/>
    <tableColumn id="9" xr3:uid="{E8FDF937-F425-4892-8ACA-FEF7F2977FBC}" name="xAp90 This Season" dataDxfId="302"/>
    <tableColumn id="10" xr3:uid="{2C3C935F-FA71-4DE9-A803-491F9746E3A6}" name="CSp90 This Season" dataDxfId="301"/>
    <tableColumn id="13" xr3:uid="{4FF0F5C6-5E90-43C0-A359-7A8931AC85BA}" name="60+Mins This Season" dataDxfId="300"/>
    <tableColumn id="14" xr3:uid="{0B821A1A-72E6-42F7-8CC5-F39F8C901F5E}" name="Possible 60+Mins This Season" dataDxfId="299"/>
    <tableColumn id="15" xr3:uid="{DB49A4C2-FE5B-49D1-8015-D2F6E33864FA}" name="Price" dataDxfId="298"/>
    <tableColumn id="16" xr3:uid="{073C1C81-FAE7-4CCE-8015-372648EC0F3C}" name="Quality" dataDxfId="297">
      <calculatedColumnFormula>EVE[[#This Row],[xPoints Av.]]*EVE[[#This Row],[Regularity]]</calculatedColumnFormula>
    </tableColumn>
    <tableColumn id="17" xr3:uid="{02E28697-06AF-412A-B2C7-8CD02A73A9D1}" name="Team" dataDxfId="296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056707-2D61-4C8D-B9AE-09ACDA2F97CA}" name="LEE" displayName="LEE" ref="A144:Q161" totalsRowShown="0" headerRowDxfId="295" dataDxfId="294">
  <autoFilter ref="A144:Q161" xr:uid="{F7056707-2D61-4C8D-B9AE-09ACDA2F97CA}"/>
  <sortState xmlns:xlrd2="http://schemas.microsoft.com/office/spreadsheetml/2017/richdata2" ref="A145:Q161">
    <sortCondition descending="1" ref="P144:P161"/>
  </sortState>
  <tableColumns count="17">
    <tableColumn id="1" xr3:uid="{442D89AC-0D39-4C37-8F1F-B96A78ACB1D6}" name="Player" dataDxfId="293"/>
    <tableColumn id="2" xr3:uid="{1DEF95F7-7D9E-4E67-B922-3421FE4775DD}" name="Pos." dataDxfId="292"/>
    <tableColumn id="3" xr3:uid="{F8444266-A506-4A74-BCFC-A39BE8DEB53F}" name="xPoints Av." dataDxfId="291">
      <calculatedColumnFormula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calculatedColumnFormula>
    </tableColumn>
    <tableColumn id="4" xr3:uid="{DD1E14B2-7848-4E40-9626-AE1D504B9CF4}" name="Regularity" dataDxfId="290">
      <calculatedColumnFormula>(LEE[[#This Row],[60+Mins Last Season]]/LEE[[#This Row],[Possible 60+Mins Last Season]] * (38-MAX(GameRecord[GW]))/38) + (LEE[[#This Row],[60+Mins This Season]]/LEE[[#This Row],[Possible 60+Mins This Season]] * (MAX(GameRecord[GW]))/38)</calculatedColumnFormula>
    </tableColumn>
    <tableColumn id="5" xr3:uid="{0A0677A1-C03B-49A2-B474-59C00437EAD3}" name="xGp90 Last Season" dataDxfId="289"/>
    <tableColumn id="6" xr3:uid="{6103330C-0973-4F66-97D4-9A80351E1846}" name="xAp90 Last Season" dataDxfId="288"/>
    <tableColumn id="7" xr3:uid="{D0D82FBF-51C3-4A99-9C86-0E3BE40F0EEF}" name="CSp90 Last Season" dataDxfId="287"/>
    <tableColumn id="11" xr3:uid="{4B8A898B-888C-4D86-91DD-836C997D1D97}" name="60+Mins Last Season" dataDxfId="286"/>
    <tableColumn id="12" xr3:uid="{54063E7E-A78B-470E-8EEB-F5150707B6AA}" name="Possible 60+Mins Last Season" dataDxfId="285"/>
    <tableColumn id="8" xr3:uid="{B0A05728-7EEB-47A2-B3A2-F9F029E38AB1}" name="xGp90 This Season" dataDxfId="284"/>
    <tableColumn id="9" xr3:uid="{9E408F2F-7F56-40F0-81C0-B61984868979}" name="xAp90 This Season" dataDxfId="283"/>
    <tableColumn id="10" xr3:uid="{ED43B8D6-78EE-413B-89D0-217D463481AB}" name="CSp90 This Season" dataDxfId="282"/>
    <tableColumn id="13" xr3:uid="{E8EBD7D8-5DDC-4BB4-B91E-78A52B17A566}" name="60+Mins This Season" dataDxfId="281"/>
    <tableColumn id="14" xr3:uid="{747B3D25-483C-4257-B176-1236378E6D5E}" name="Possible 60+Mins This Season" dataDxfId="280"/>
    <tableColumn id="15" xr3:uid="{BAD1FE0B-3BE3-4315-9872-0A2AC9C2C230}" name="Price" dataDxfId="279"/>
    <tableColumn id="16" xr3:uid="{0B1D5F34-5A3E-46C3-B41E-45ADB4E576C5}" name="Quality" dataDxfId="278">
      <calculatedColumnFormula>LEE[[#This Row],[xPoints Av.]]*LEE[[#This Row],[Regularity]]</calculatedColumnFormula>
    </tableColumn>
    <tableColumn id="17" xr3:uid="{C6566557-D8C3-4FFE-B4F9-788DE00295CE}" name="Team" dataDxfId="27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B6C6531-E38A-4DC1-AB66-F02AFC49A9BC}" name="AVL_27" displayName="AVL_27" ref="A1:Q20" totalsRowShown="0" headerRowDxfId="777" dataDxfId="776">
  <autoFilter ref="A1:Q20" xr:uid="{CB6C6531-E38A-4DC1-AB66-F02AFC49A9BC}"/>
  <sortState xmlns:xlrd2="http://schemas.microsoft.com/office/spreadsheetml/2017/richdata2" ref="A2:Q20">
    <sortCondition ref="B1:B20"/>
  </sortState>
  <tableColumns count="17">
    <tableColumn id="1" xr3:uid="{B252D2C6-24F9-4CB8-8644-3BF5172E3DAF}" name="Player" dataDxfId="775"/>
    <tableColumn id="2" xr3:uid="{CB4D6B9D-ADD2-4022-A070-9E6063E37CDF}" name="Pos." dataDxfId="774"/>
    <tableColumn id="3" xr3:uid="{0DB5E28A-9BD3-487E-AE93-4F0F16701DEB}" name="xPoints Av." dataDxfId="773">
      <calculatedColumnFormula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calculatedColumnFormula>
    </tableColumn>
    <tableColumn id="4" xr3:uid="{AC1538E1-03C0-4F26-93A5-C1DC62053F39}" name="Regularity" dataDxfId="772">
      <calculatedColumnFormula>(AVL_27[[#This Row],[60+Mins Last Season]]/AVL_27[[#This Row],[Possible 60+Mins Last Season]] * (38-MAX(GameRecord[GW]))/38) + (AVL_27[[#This Row],[60+Mins This Season]]/AVL_27[[#This Row],[Possible 60+Mins This Season]] * (MAX(GameRecord[GW]))/38)</calculatedColumnFormula>
    </tableColumn>
    <tableColumn id="5" xr3:uid="{33FA4835-87AB-430E-BA7F-C6C63FD8A277}" name="xGp90 Last Season" dataDxfId="771"/>
    <tableColumn id="6" xr3:uid="{A9994646-4F2C-400C-BE74-F8EBCF847044}" name="xAp90 Last Season" dataDxfId="770"/>
    <tableColumn id="7" xr3:uid="{4BC8D510-1700-45D3-A389-ABA79039B7CC}" name="CSp90 Last Season" dataDxfId="769">
      <calculatedColumnFormula>11/(3240/90)</calculatedColumnFormula>
    </tableColumn>
    <tableColumn id="11" xr3:uid="{269B14A1-B9D5-47BF-AF49-64D40EFEC042}" name="60+Mins Last Season" dataDxfId="768"/>
    <tableColumn id="12" xr3:uid="{1C1B0CFE-B8B8-49CD-A547-7D4563311802}" name="Possible 60+Mins Last Season" dataDxfId="767"/>
    <tableColumn id="8" xr3:uid="{F55818A3-081F-4B64-84D1-CB63524D80D0}" name="xGp90 This Season" dataDxfId="766"/>
    <tableColumn id="9" xr3:uid="{4BA115E3-F0EF-4680-AF3A-6C3CB39C1459}" name="xAp90 This Season" dataDxfId="765"/>
    <tableColumn id="10" xr3:uid="{733A0070-1B02-4EDA-B150-DEC0EEF26C51}" name="CSp90 This Season" dataDxfId="764"/>
    <tableColumn id="13" xr3:uid="{170C7819-B5F4-4338-9E4A-E72A91A30D07}" name="60+Mins This Season" dataDxfId="763"/>
    <tableColumn id="14" xr3:uid="{A103591E-717B-4E32-8236-A243B3E543B8}" name="Possible 60+Mins This Season" dataDxfId="762"/>
    <tableColumn id="15" xr3:uid="{280087CE-7FB3-41F6-97A9-BD5E179EBE25}" name="Price" dataDxfId="761"/>
    <tableColumn id="16" xr3:uid="{EE8A7BC0-B6DD-4BD5-8CD6-44C086ED8A63}" name="Quality" dataDxfId="760">
      <calculatedColumnFormula>AVL_27[[#This Row],[xPoints Av.]]*AVL_27[[#This Row],[Regularity]]</calculatedColumnFormula>
    </tableColumn>
    <tableColumn id="17" xr3:uid="{ADC55EAD-37CC-4CC5-B6B7-778920F20716}" name="Team" dataDxfId="759"/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90DB8-9B2F-4E8B-BFF6-1569D350A25A}" name="LEI" displayName="LEI" ref="A164:Q182" totalsRowShown="0" headerRowDxfId="276" dataDxfId="275">
  <autoFilter ref="A164:Q182" xr:uid="{E5B90DB8-9B2F-4E8B-BFF6-1569D350A25A}"/>
  <sortState xmlns:xlrd2="http://schemas.microsoft.com/office/spreadsheetml/2017/richdata2" ref="A165:Q182">
    <sortCondition descending="1" ref="P164:P182"/>
  </sortState>
  <tableColumns count="17">
    <tableColumn id="1" xr3:uid="{1C260625-7DE2-46CC-B60A-FD35992B3194}" name="Player" dataDxfId="274"/>
    <tableColumn id="2" xr3:uid="{427C79C1-FCA8-415F-AC31-6C7AEDCBCF53}" name="Pos." dataDxfId="273"/>
    <tableColumn id="3" xr3:uid="{CF3076C9-348A-40D4-995C-236D5CCDF4A8}" name="xPoints Av." dataDxfId="272">
      <calculatedColumnFormula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calculatedColumnFormula>
    </tableColumn>
    <tableColumn id="4" xr3:uid="{60E2759E-78E3-411E-9FCF-56739E991F75}" name="Regularity" dataDxfId="271">
      <calculatedColumnFormula>(LEI[[#This Row],[60+Mins Last Season]]/LEI[[#This Row],[Possible 60+Mins Last Season]] * (38-MAX(GameRecord[GW]))/38) + (LEI[[#This Row],[60+Mins This Season]]/LEI[[#This Row],[Possible 60+Mins This Season]] * (MAX(GameRecord[GW]))/38)</calculatedColumnFormula>
    </tableColumn>
    <tableColumn id="5" xr3:uid="{B6A7D66F-C080-43A3-9970-6A302BA7DE8E}" name="xGp90 Last Season" dataDxfId="270"/>
    <tableColumn id="6" xr3:uid="{2B29B846-3259-4086-9C3C-56A82FD5EA06}" name="xAp90 Last Season" dataDxfId="269"/>
    <tableColumn id="7" xr3:uid="{9C1A4F26-5059-47D2-AB9C-FDFBF359BA8E}" name="CSp90 Last Season" dataDxfId="268"/>
    <tableColumn id="11" xr3:uid="{C2712396-3D52-40B3-B5C2-6537EF888F8E}" name="60+Mins Last Season" dataDxfId="267"/>
    <tableColumn id="12" xr3:uid="{4B4866EF-4ABC-436C-88A4-DCF950B20ECF}" name="Possible 60+Mins Last Season" dataDxfId="266"/>
    <tableColumn id="8" xr3:uid="{F7BB219C-5B5B-4285-B45F-7BD55E7F572E}" name="xGp90 This Season" dataDxfId="265"/>
    <tableColumn id="9" xr3:uid="{DE1A416A-C17B-4729-A032-9313C98A762E}" name="xAp90 This Season" dataDxfId="264"/>
    <tableColumn id="10" xr3:uid="{56D6C1D2-1173-4630-848E-502BBD92A1EC}" name="CSp90 This Season" dataDxfId="263"/>
    <tableColumn id="13" xr3:uid="{CCC1D7DA-8BBD-4B2B-87B7-7E14B26CC692}" name="60+Mins This Season" dataDxfId="262"/>
    <tableColumn id="14" xr3:uid="{0266E596-5F9C-47A6-8852-E572C32D4337}" name="Possible 60+Mins This Season" dataDxfId="261"/>
    <tableColumn id="15" xr3:uid="{293EB4AB-6A87-4A52-A694-E52641A3F588}" name="Price" dataDxfId="260"/>
    <tableColumn id="16" xr3:uid="{30FD8187-D609-4FCB-9DD6-AA4E65DC731A}" name="Quality" dataDxfId="259">
      <calculatedColumnFormula>LEI[[#This Row],[xPoints Av.]]*LEI[[#This Row],[Regularity]]</calculatedColumnFormula>
    </tableColumn>
    <tableColumn id="17" xr3:uid="{84B37B73-5804-44EB-A222-1B67DB98BB05}" name="Team" dataDxfId="258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1F4902-16D3-4732-8214-3ABC9983E614}" name="LIV" displayName="LIV" ref="A185:Q206" totalsRowShown="0" headerRowDxfId="257" dataDxfId="256">
  <autoFilter ref="A185:Q206" xr:uid="{BF1F4902-16D3-4732-8214-3ABC9983E614}"/>
  <sortState xmlns:xlrd2="http://schemas.microsoft.com/office/spreadsheetml/2017/richdata2" ref="A186:Q206">
    <sortCondition descending="1" ref="P185:P206"/>
  </sortState>
  <tableColumns count="17">
    <tableColumn id="1" xr3:uid="{98BB8A05-75AD-4BB7-89AC-A2E3ECBFCCA9}" name="Player" dataDxfId="255"/>
    <tableColumn id="2" xr3:uid="{5F14D6C1-4238-4DD1-842B-A1D4C29C6BD6}" name="Pos." dataDxfId="254"/>
    <tableColumn id="3" xr3:uid="{5BF16B48-D1D0-4DA7-9F90-816B6519CE98}" name="xPoints Av." dataDxfId="253">
      <calculatedColumnFormula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calculatedColumnFormula>
    </tableColumn>
    <tableColumn id="4" xr3:uid="{769365AF-562B-4E29-AFDB-C68980F70B6B}" name="Regularity" dataDxfId="252">
      <calculatedColumnFormula>(LIV[[#This Row],[60+Mins Last Season]]/LIV[[#This Row],[Possible 60+Mins Last Season]] * (38-MAX(GameRecord[GW]))/38) + (LIV[[#This Row],[60+Mins This Season]]/LIV[[#This Row],[Possible 60+Mins This Season]] * (MAX(GameRecord[GW]))/38)</calculatedColumnFormula>
    </tableColumn>
    <tableColumn id="5" xr3:uid="{86E01B09-5FC3-4A2A-AB4C-3915BDD45551}" name="xGp90 Last Season" dataDxfId="251"/>
    <tableColumn id="6" xr3:uid="{988AEBD4-479E-48AE-AACA-735F4C499917}" name="xAp90 Last Season" dataDxfId="250"/>
    <tableColumn id="7" xr3:uid="{B3129FE0-94F6-4137-B081-DE31AE04E2D4}" name="CSp90 Last Season" dataDxfId="249"/>
    <tableColumn id="11" xr3:uid="{986CCAA2-63BC-4ABE-94F1-1BEE4CFF3B8D}" name="60+Mins Last Season" dataDxfId="248"/>
    <tableColumn id="12" xr3:uid="{C7D3572F-671E-419C-9A3F-95DE753D6FC0}" name="Possible 60+Mins Last Season" dataDxfId="247"/>
    <tableColumn id="8" xr3:uid="{5C34BCFB-E5D0-4701-9F42-03DE95BCCCF7}" name="xGp90 This Season" dataDxfId="246"/>
    <tableColumn id="9" xr3:uid="{10289751-095B-4ACB-82B5-8F5F410BE0A3}" name="xAp90 This Season" dataDxfId="245"/>
    <tableColumn id="10" xr3:uid="{C773D6B3-D55F-4160-BD93-A7B78F41635E}" name="CSp90 This Season" dataDxfId="244"/>
    <tableColumn id="13" xr3:uid="{D0E91BD9-1E81-475E-9CF3-5AFBC571DDAE}" name="60+Mins This Season" dataDxfId="243"/>
    <tableColumn id="14" xr3:uid="{137CBC5D-EC92-4BE8-A7BF-EC850E1E6B49}" name="Possible 60+Mins This Season" dataDxfId="242"/>
    <tableColumn id="15" xr3:uid="{4E9F4235-1D14-4E4C-930D-8541A2D2A1D4}" name="Price" dataDxfId="241"/>
    <tableColumn id="16" xr3:uid="{418B2217-8D46-420E-97D9-D912C0D26400}" name="Quality" dataDxfId="240">
      <calculatedColumnFormula>LIV[[#This Row],[xPoints Av.]]*LIV[[#This Row],[Regularity]]</calculatedColumnFormula>
    </tableColumn>
    <tableColumn id="17" xr3:uid="{05FA62FA-4519-419B-9087-84A056D76A42}" name="Team" dataDxfId="239"/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484C16-5F4A-40D1-8927-81EFF9746420}" name="MCI" displayName="MCI" ref="A209:Q226" totalsRowShown="0" headerRowDxfId="238" dataDxfId="237">
  <autoFilter ref="A209:Q226" xr:uid="{16484C16-5F4A-40D1-8927-81EFF9746420}"/>
  <sortState xmlns:xlrd2="http://schemas.microsoft.com/office/spreadsheetml/2017/richdata2" ref="A210:Q226">
    <sortCondition descending="1" ref="P209:P226"/>
  </sortState>
  <tableColumns count="17">
    <tableColumn id="1" xr3:uid="{C81CC629-575B-4EBE-9D4C-C043D341CB89}" name="Player" dataDxfId="236"/>
    <tableColumn id="2" xr3:uid="{243B6F4B-9895-4496-B919-B8DFFF0DF9F1}" name="Pos." dataDxfId="235"/>
    <tableColumn id="3" xr3:uid="{242E8E67-1729-4CDF-A3FC-BD9CC60EBFB9}" name="xPoints Av." dataDxfId="234">
      <calculatedColumnFormula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calculatedColumnFormula>
    </tableColumn>
    <tableColumn id="4" xr3:uid="{7C88A3E7-C68E-429F-BFA7-215F7317F385}" name="Regularity" dataDxfId="233">
      <calculatedColumnFormula>(MCI[[#This Row],[60+Mins Last Season]]/MCI[[#This Row],[Possible 60+Mins Last Season]] * (38-MAX(GameRecord[GW]))/38) + (MCI[[#This Row],[60+Mins This Season]]/MCI[[#This Row],[Possible 60+Mins This Season]] * (MAX(GameRecord[GW]))/38)</calculatedColumnFormula>
    </tableColumn>
    <tableColumn id="5" xr3:uid="{84F08936-04B8-4780-9420-673378A32C75}" name="xGp90 Last Season" dataDxfId="232"/>
    <tableColumn id="6" xr3:uid="{0AD01ADF-71EC-46D3-8BE0-2CF8A57E3012}" name="xAp90 Last Season" dataDxfId="231"/>
    <tableColumn id="7" xr3:uid="{0390368E-5FF5-4772-A368-5CC1F9C68AEF}" name="CSp90 Last Season" dataDxfId="230"/>
    <tableColumn id="11" xr3:uid="{E06CDA8A-8D2B-4A57-91F4-D77663C7E898}" name="60+Mins Last Season" dataDxfId="229"/>
    <tableColumn id="12" xr3:uid="{FAAD8A53-11DF-4C6D-9201-37B98CA01388}" name="Possible 60+Mins Last Season" dataDxfId="228"/>
    <tableColumn id="8" xr3:uid="{72B894C7-6405-42B9-8A39-4929861E29AB}" name="xGp90 This Season" dataDxfId="227"/>
    <tableColumn id="9" xr3:uid="{5EAC3079-E2D9-4AF7-B5E5-92CF86BA204A}" name="xAp90 This Season" dataDxfId="226"/>
    <tableColumn id="10" xr3:uid="{0A21D342-0E4B-4FB3-B132-CFCD8EFAD5F9}" name="CSp90 This Season" dataDxfId="225"/>
    <tableColumn id="13" xr3:uid="{458C737D-DB10-4F3B-B7C5-E76B51DCC03C}" name="60+Mins This Season" dataDxfId="224"/>
    <tableColumn id="14" xr3:uid="{B67D536D-4F76-4A26-A222-A0B66CEA6E9D}" name="Possible 60+Mins This Season" dataDxfId="223"/>
    <tableColumn id="15" xr3:uid="{44A02237-9383-4521-BDDA-EB8292F8D68D}" name="Price" dataDxfId="222"/>
    <tableColumn id="16" xr3:uid="{CCAA1655-A1E9-4E2D-BACC-15357F6BCCA1}" name="Quality" dataDxfId="221">
      <calculatedColumnFormula>MCI[[#This Row],[xPoints Av.]]*MCI[[#This Row],[Regularity]]</calculatedColumnFormula>
    </tableColumn>
    <tableColumn id="17" xr3:uid="{DFC5A321-13EF-4603-B210-D012E8A3AC96}" name="Team" dataDxfId="220"/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0CA89E-75EE-4307-8CFD-7AE99475CED3}" name="MUN" displayName="MUN" ref="A229:Q245" totalsRowShown="0" headerRowDxfId="219" dataDxfId="218">
  <autoFilter ref="A229:Q245" xr:uid="{3A0CA89E-75EE-4307-8CFD-7AE99475CED3}"/>
  <sortState xmlns:xlrd2="http://schemas.microsoft.com/office/spreadsheetml/2017/richdata2" ref="A230:Q245">
    <sortCondition descending="1" ref="P229:P245"/>
  </sortState>
  <tableColumns count="17">
    <tableColumn id="1" xr3:uid="{14F9722C-7A3D-4594-8D58-C8C78B0234CB}" name="Player" dataDxfId="217"/>
    <tableColumn id="2" xr3:uid="{8A311C06-74BA-43ED-9EDD-8711716BC5CC}" name="Pos." dataDxfId="216"/>
    <tableColumn id="3" xr3:uid="{82B19ABC-8763-4A23-808A-58149EF42447}" name="xPoints Av." dataDxfId="215">
      <calculatedColumnFormula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calculatedColumnFormula>
    </tableColumn>
    <tableColumn id="4" xr3:uid="{DD82ABD0-0CCB-4909-9D94-DCC5D055BB9B}" name="Regularity" dataDxfId="214">
      <calculatedColumnFormula>(MUN[[#This Row],[60+Mins Last Season]]/MUN[[#This Row],[Possible 60+Mins Last Season]] * (38-MAX(GameRecord[GW]))/38) + (MUN[[#This Row],[60+Mins This Season]]/MUN[[#This Row],[Possible 60+Mins This Season]] * (MAX(GameRecord[GW]))/38)</calculatedColumnFormula>
    </tableColumn>
    <tableColumn id="5" xr3:uid="{9BD41F5E-52AA-4CD2-B045-BE110712DD3F}" name="xGp90 Last Season" dataDxfId="213"/>
    <tableColumn id="6" xr3:uid="{715DA80A-9DD7-4618-870C-85235957726D}" name="xAp90 Last Season" dataDxfId="212"/>
    <tableColumn id="7" xr3:uid="{A325A87F-941D-4E1F-9624-E2296140CE14}" name="CSp90 Last Season" dataDxfId="211"/>
    <tableColumn id="11" xr3:uid="{088F9DEF-FC17-455F-B6E7-EC69F73FF085}" name="60+Mins Last Season" dataDxfId="210"/>
    <tableColumn id="12" xr3:uid="{43D0F175-04BD-419B-B3DD-E42C810DE300}" name="Possible 60+Mins Last Season" dataDxfId="209"/>
    <tableColumn id="8" xr3:uid="{AD97237D-2EEC-44E6-A8A6-00BCD507AA4F}" name="xGp90 This Season" dataDxfId="208"/>
    <tableColumn id="9" xr3:uid="{F5309A09-9C1B-4F7B-A293-CE93F92A4507}" name="xAp90 This Season" dataDxfId="207"/>
    <tableColumn id="10" xr3:uid="{4E2FB6C5-7229-4628-B7E2-A3D509F0953D}" name="CSp90 This Season" dataDxfId="206"/>
    <tableColumn id="13" xr3:uid="{59BC430C-FFF6-4310-9D19-B2B1EA513B07}" name="60+Mins This Season" dataDxfId="205"/>
    <tableColumn id="14" xr3:uid="{EB83305C-2DF9-4424-9C1A-2584BEC9D3CD}" name="Possible 60+Mins This Season" dataDxfId="204"/>
    <tableColumn id="15" xr3:uid="{A6511BCD-5F0D-4552-AAEB-4FA17AB71612}" name="Price" dataDxfId="203"/>
    <tableColumn id="16" xr3:uid="{16526511-187A-43C2-8B24-66D8597AC574}" name="Quality" dataDxfId="202">
      <calculatedColumnFormula>MUN[[#This Row],[xPoints Av.]]*MUN[[#This Row],[Regularity]]</calculatedColumnFormula>
    </tableColumn>
    <tableColumn id="17" xr3:uid="{3DBD1437-F20D-4151-AAAE-84841B9FBC0A}" name="Team" dataDxfId="201"/>
  </tableColumns>
  <tableStyleInfo name="TableStyleMedium2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C572FA-DE48-485F-A704-01A577F03AD3}" name="NEW" displayName="NEW" ref="A248:Q267" totalsRowShown="0" headerRowDxfId="200" dataDxfId="199">
  <autoFilter ref="A248:Q267" xr:uid="{60C572FA-DE48-485F-A704-01A577F03AD3}"/>
  <sortState xmlns:xlrd2="http://schemas.microsoft.com/office/spreadsheetml/2017/richdata2" ref="A249:Q267">
    <sortCondition descending="1" ref="P248:P267"/>
  </sortState>
  <tableColumns count="17">
    <tableColumn id="1" xr3:uid="{DED9301C-167D-4B5B-8CB5-D16A47C9AAFF}" name="Player" dataDxfId="198"/>
    <tableColumn id="2" xr3:uid="{54A65B1B-9D57-41D3-8950-8AAF0B5F8A01}" name="Pos." dataDxfId="197"/>
    <tableColumn id="3" xr3:uid="{79C4645C-8447-4CBD-A74C-BB29C6717543}" name="xPoints Av." dataDxfId="196">
      <calculatedColumnFormula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calculatedColumnFormula>
    </tableColumn>
    <tableColumn id="4" xr3:uid="{B00DCF55-86D4-431D-BD0D-BA42B5A6F657}" name="Regularity" dataDxfId="195">
      <calculatedColumnFormula>(NEW[[#This Row],[60+Mins Last Season]]/NEW[[#This Row],[Possible 60+Mins Last Season]] * (38-MAX(GameRecord[GW]))/38) + (NEW[[#This Row],[60+Mins This Season]]/NEW[[#This Row],[Possible 60+Mins This Season]] * (MAX(GameRecord[GW]))/38)</calculatedColumnFormula>
    </tableColumn>
    <tableColumn id="5" xr3:uid="{51BF75A9-A0A7-4E61-B0EF-F65020069D5E}" name="xGp90 Last Season" dataDxfId="194"/>
    <tableColumn id="6" xr3:uid="{2A9C90F2-7953-4B09-A169-D5825AE6647A}" name="xAp90 Last Season" dataDxfId="193"/>
    <tableColumn id="7" xr3:uid="{2BF0A983-AD9B-452D-824A-86F6FC443DD4}" name="CSp90 Last Season" dataDxfId="192"/>
    <tableColumn id="11" xr3:uid="{4D33A9B8-6267-4F78-AC99-ECF4EDDE5084}" name="60+Mins Last Season" dataDxfId="191"/>
    <tableColumn id="12" xr3:uid="{CA08DA7F-226D-4438-BF02-99CB1AF9DEF0}" name="Possible 60+Mins Last Season" dataDxfId="190"/>
    <tableColumn id="8" xr3:uid="{27EB1EF6-820C-4C31-8369-CAAEA79CF5E8}" name="xGp90 This Season" dataDxfId="189"/>
    <tableColumn id="9" xr3:uid="{17A2C692-98D2-47D9-896E-BEA4A177F2FE}" name="xAp90 This Season" dataDxfId="188"/>
    <tableColumn id="10" xr3:uid="{C2FB4F67-1628-4AE3-BF72-D1E707C4D3CD}" name="CSp90 This Season" dataDxfId="187"/>
    <tableColumn id="13" xr3:uid="{6B7D79EE-FCC6-466C-953D-E924DEBA702E}" name="60+Mins This Season" dataDxfId="186"/>
    <tableColumn id="14" xr3:uid="{A83FF406-9450-4103-99D5-D23359B2C7C1}" name="Possible 60+Mins This Season" dataDxfId="185"/>
    <tableColumn id="15" xr3:uid="{3FE6E6B2-1B09-444E-B157-B511A177C2A4}" name="Price" dataDxfId="184"/>
    <tableColumn id="16" xr3:uid="{70AD4960-D328-428D-BFEF-3691E15DD62E}" name="Quality" dataDxfId="183">
      <calculatedColumnFormula>NEW[[#This Row],[xPoints Av.]]*NEW[[#This Row],[Regularity]]</calculatedColumnFormula>
    </tableColumn>
    <tableColumn id="17" xr3:uid="{DC8FA538-91D8-4C02-AACF-831AD222F20B}" name="Team" dataDxfId="182"/>
  </tableColumns>
  <tableStyleInfo name="TableStyleMedium2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9F5AA8-8AB9-44F8-9C9D-470196F6B859}" name="SOU" displayName="SOU" ref="A270:Q287" totalsRowShown="0" headerRowDxfId="181" dataDxfId="180">
  <autoFilter ref="A270:Q287" xr:uid="{059F5AA8-8AB9-44F8-9C9D-470196F6B859}"/>
  <sortState xmlns:xlrd2="http://schemas.microsoft.com/office/spreadsheetml/2017/richdata2" ref="A271:Q287">
    <sortCondition descending="1" ref="P270:P287"/>
  </sortState>
  <tableColumns count="17">
    <tableColumn id="1" xr3:uid="{501D42A4-00B8-4929-BB6D-746B2CDA38DA}" name="Player" dataDxfId="179"/>
    <tableColumn id="2" xr3:uid="{967CB724-9427-40E7-9DA3-5B887D175D72}" name="Pos." dataDxfId="178"/>
    <tableColumn id="3" xr3:uid="{D077EB53-DA32-4CA0-82B8-65EA4EE7854E}" name="xPoints Av." dataDxfId="177">
      <calculatedColumnFormula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calculatedColumnFormula>
    </tableColumn>
    <tableColumn id="4" xr3:uid="{CB5C0BC8-93FF-4844-B2A0-7F04EEB1EB16}" name="Regularity" dataDxfId="176">
      <calculatedColumnFormula>(SOU[[#This Row],[60+Mins Last Season]]/SOU[[#This Row],[Possible 60+Mins Last Season]] * (38-MAX(GameRecord[GW]))/38) + (SOU[[#This Row],[60+Mins This Season]]/SOU[[#This Row],[Possible 60+Mins This Season]] * (MAX(GameRecord[GW]))/38)</calculatedColumnFormula>
    </tableColumn>
    <tableColumn id="5" xr3:uid="{6BD7D5AE-83D3-4C02-9516-DA8877426A63}" name="xGp90 Last Season" dataDxfId="175"/>
    <tableColumn id="6" xr3:uid="{D428EA47-65B3-4399-AED9-618DB7AEF44D}" name="xAp90 Last Season" dataDxfId="174"/>
    <tableColumn id="7" xr3:uid="{3350428A-E558-4BAB-B2C2-74A80E2CE55A}" name="CSp90 Last Season" dataDxfId="173"/>
    <tableColumn id="11" xr3:uid="{F914F015-7432-4AE4-B817-A66BE061A5DD}" name="60+Mins Last Season" dataDxfId="172"/>
    <tableColumn id="12" xr3:uid="{D75410AF-5A10-44E2-8D0B-2B5595D381E7}" name="Possible 60+Mins Last Season" dataDxfId="171"/>
    <tableColumn id="8" xr3:uid="{E4530AD5-8AEF-4ECC-A7F1-BA4EF22586DB}" name="xGp90 This Season" dataDxfId="170"/>
    <tableColumn id="9" xr3:uid="{20DA6988-ED7F-46D0-B18D-06ED895AAC96}" name="xAp90 This Season" dataDxfId="169"/>
    <tableColumn id="10" xr3:uid="{B3B33ED0-E19E-4309-876E-0DF93D7944E6}" name="CSp90 This Season" dataDxfId="168"/>
    <tableColumn id="13" xr3:uid="{81B40A46-5CE2-42C9-8242-39D7040BE942}" name="60+Mins This Season" dataDxfId="167"/>
    <tableColumn id="14" xr3:uid="{B67B5234-9BD8-48F1-8B12-ED162EE60DA0}" name="Possible 60+Mins This Season" dataDxfId="166"/>
    <tableColumn id="15" xr3:uid="{49459686-2568-42D1-918E-42E09AC05564}" name="Price" dataDxfId="165"/>
    <tableColumn id="16" xr3:uid="{5C873F6E-3D91-4C7D-A5B0-8E759B0CEC2C}" name="Quality" dataDxfId="164">
      <calculatedColumnFormula>SOU[[#This Row],[xPoints Av.]]*SOU[[#This Row],[Regularity]]</calculatedColumnFormula>
    </tableColumn>
    <tableColumn id="17" xr3:uid="{5256FE94-F532-479F-8984-2251024424AB}" name="Team" dataDxfId="163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4E96EA-D080-4DCF-BE3C-1752F88F06D0}" name="TOT" displayName="TOT" ref="A290:Q309" totalsRowShown="0" headerRowDxfId="162" dataDxfId="161">
  <autoFilter ref="A290:Q309" xr:uid="{404E96EA-D080-4DCF-BE3C-1752F88F06D0}"/>
  <sortState xmlns:xlrd2="http://schemas.microsoft.com/office/spreadsheetml/2017/richdata2" ref="A291:Q309">
    <sortCondition descending="1" ref="P290:P309"/>
  </sortState>
  <tableColumns count="17">
    <tableColumn id="1" xr3:uid="{53E911E5-5427-4298-BD64-F0050F0FB1CA}" name="Player" dataDxfId="160"/>
    <tableColumn id="2" xr3:uid="{7CC52D8C-8D6F-472C-A365-2147B5F495B9}" name="Pos." dataDxfId="159"/>
    <tableColumn id="3" xr3:uid="{5AF21CF6-DE57-4492-BD34-2D83A2656958}" name="xPoints Av." dataDxfId="158">
      <calculatedColumnFormula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calculatedColumnFormula>
    </tableColumn>
    <tableColumn id="4" xr3:uid="{DE4A1D7E-4952-4593-A7D7-7593D8B9F606}" name="Regularity" dataDxfId="157">
      <calculatedColumnFormula>(TOT[[#This Row],[60+Mins Last Season]]/TOT[[#This Row],[Possible 60+Mins Last Season]] * (38-MAX(GameRecord[GW]))/38) + (TOT[[#This Row],[60+Mins This Season]]/TOT[[#This Row],[Possible 60+Mins This Season]] * (MAX(GameRecord[GW]))/38)</calculatedColumnFormula>
    </tableColumn>
    <tableColumn id="5" xr3:uid="{6395A178-CDEE-4162-BF2F-B93AF9376C7F}" name="xGp90 Last Season" dataDxfId="156"/>
    <tableColumn id="6" xr3:uid="{3FB61D31-20F2-4EA2-BE28-86DCC68E034C}" name="xAp90 Last Season" dataDxfId="155"/>
    <tableColumn id="7" xr3:uid="{199A1497-BA85-4250-B5DC-3C0B94690BDB}" name="CSp90 Last Season" dataDxfId="154"/>
    <tableColumn id="11" xr3:uid="{296287F2-1402-4F1F-9A37-4D2F0C1E1788}" name="60+Mins Last Season" dataDxfId="153"/>
    <tableColumn id="12" xr3:uid="{8265B6DE-BC65-48A5-9237-51BA74548FF3}" name="Possible 60+Mins Last Season" dataDxfId="152"/>
    <tableColumn id="8" xr3:uid="{AFBDED03-131F-45FF-9828-83445C608D86}" name="xGp90 This Season" dataDxfId="151"/>
    <tableColumn id="9" xr3:uid="{B067F31B-21AE-4F65-8904-C8097FC4E6B3}" name="xAp90 This Season" dataDxfId="150"/>
    <tableColumn id="10" xr3:uid="{E2F3E258-BEFC-4711-9D35-B10AD38C8AEA}" name="CSp90 This Season" dataDxfId="149"/>
    <tableColumn id="13" xr3:uid="{D8D611BB-9675-4DA5-B266-3458A6C72468}" name="60+Mins This Season" dataDxfId="148"/>
    <tableColumn id="14" xr3:uid="{555E6D24-E282-4095-8399-FEFF7E290AB7}" name="Possible 60+Mins This Season" dataDxfId="147"/>
    <tableColumn id="15" xr3:uid="{6C9C29A0-3B76-4373-958B-1636787DDABA}" name="Price" dataDxfId="146"/>
    <tableColumn id="16" xr3:uid="{1FCDC525-1FBF-4A3E-ACBD-2C6623FBD416}" name="Quality" dataDxfId="145">
      <calculatedColumnFormula>TOT[[#This Row],[xPoints Av.]]*TOT[[#This Row],[Regularity]]</calculatedColumnFormula>
    </tableColumn>
    <tableColumn id="17" xr3:uid="{B5E46DF1-B038-47EF-8816-291CFBFC097B}" name="Team" dataDxfId="144"/>
  </tableColumns>
  <tableStyleInfo name="TableStyleMedium2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951A73-594F-4A1F-A911-7588CA160E68}" name="WHU" displayName="WHU" ref="A312:Q327" totalsRowShown="0" headerRowDxfId="143" dataDxfId="142">
  <autoFilter ref="A312:Q327" xr:uid="{F6951A73-594F-4A1F-A911-7588CA160E68}"/>
  <sortState xmlns:xlrd2="http://schemas.microsoft.com/office/spreadsheetml/2017/richdata2" ref="A313:Q327">
    <sortCondition descending="1" ref="P312:P327"/>
  </sortState>
  <tableColumns count="17">
    <tableColumn id="1" xr3:uid="{09E85538-5C76-46E4-83BB-F206B7B0C4E0}" name="Player" dataDxfId="141"/>
    <tableColumn id="2" xr3:uid="{D102C475-A108-4A94-82E7-3B1D3EC03835}" name="Pos." dataDxfId="140"/>
    <tableColumn id="3" xr3:uid="{6F9B125B-AB1D-4687-B8C2-622A1243F8C5}" name="xPoints Av." dataDxfId="139">
      <calculatedColumnFormula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calculatedColumnFormula>
    </tableColumn>
    <tableColumn id="4" xr3:uid="{377EAD22-F58F-4C50-92A2-AC45092EAFE8}" name="Regularity" dataDxfId="138">
      <calculatedColumnFormula>(WHU[[#This Row],[60+Mins Last Season]]/WHU[[#This Row],[Possible 60+Mins Last Season]] * (38-MAX(GameRecord[GW]))/38) + (WHU[[#This Row],[60+Mins This Season]]/WHU[[#This Row],[Possible 60+Mins This Season]] * (MAX(GameRecord[GW]))/38)</calculatedColumnFormula>
    </tableColumn>
    <tableColumn id="5" xr3:uid="{6F3B4817-3082-4B0F-8FD9-577CE5A0D7DA}" name="xGp90 Last Season" dataDxfId="137"/>
    <tableColumn id="6" xr3:uid="{93D59C3A-1472-49B6-9AEC-D2B8E774631E}" name="xAp90 Last Season" dataDxfId="136"/>
    <tableColumn id="7" xr3:uid="{7E8DEB38-AD7F-4BE4-8535-C5CFF9C0C7D6}" name="CSp90 Last Season" dataDxfId="135"/>
    <tableColumn id="11" xr3:uid="{182E5788-5662-4A9E-B898-C1DA9DDCB87B}" name="60+Mins Last Season" dataDxfId="134"/>
    <tableColumn id="12" xr3:uid="{C5FD384F-CA18-45BD-91EF-BDA940B1AB4D}" name="Possible 60+Mins Last Season" dataDxfId="133"/>
    <tableColumn id="8" xr3:uid="{B65231BF-264A-498A-803F-F08B82ACBE8E}" name="xGp90 This Season" dataDxfId="132"/>
    <tableColumn id="9" xr3:uid="{E4CC7933-7B88-4329-A8DD-56AC85A284F7}" name="xAp90 This Season" dataDxfId="131"/>
    <tableColumn id="10" xr3:uid="{4D7292AB-263B-4C2C-8F77-82B3BD0088DE}" name="CSp90 This Season" dataDxfId="130"/>
    <tableColumn id="13" xr3:uid="{5BE6550E-0521-4CD8-A62B-71C2D23B9C5B}" name="60+Mins This Season" dataDxfId="129"/>
    <tableColumn id="14" xr3:uid="{23153DC8-3617-42B0-9A72-D9F4CFB0C56B}" name="Possible 60+Mins This Season" dataDxfId="128"/>
    <tableColumn id="15" xr3:uid="{8B2300B5-9DE8-4BF0-BDDC-7E681EE64CBE}" name="Price" dataDxfId="127"/>
    <tableColumn id="16" xr3:uid="{7A08B839-3948-40C6-BB4A-5E3CC66BE881}" name="Quality" dataDxfId="126">
      <calculatedColumnFormula>WHU[[#This Row],[xPoints Av.]]*WHU[[#This Row],[Regularity]]</calculatedColumnFormula>
    </tableColumn>
    <tableColumn id="17" xr3:uid="{1359F627-680A-48E3-887A-CBBC4F745120}" name="Team" dataDxfId="125"/>
  </tableColumns>
  <tableStyleInfo name="TableStyleMedium2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E68DEC-AC43-4FB0-83A7-DD464F933FF3}" name="WOL" displayName="WOL" ref="A330:Q346" totalsRowShown="0" headerRowDxfId="124" dataDxfId="123">
  <autoFilter ref="A330:Q346" xr:uid="{1AE68DEC-AC43-4FB0-83A7-DD464F933FF3}"/>
  <sortState xmlns:xlrd2="http://schemas.microsoft.com/office/spreadsheetml/2017/richdata2" ref="A331:Q346">
    <sortCondition descending="1" ref="P330:P346"/>
  </sortState>
  <tableColumns count="17">
    <tableColumn id="1" xr3:uid="{3432280C-98B5-4296-8600-976B5EE202BA}" name="Player" dataDxfId="122"/>
    <tableColumn id="2" xr3:uid="{3EF4C3C4-B8CC-430C-A9A0-B1CB48C812C3}" name="Pos." dataDxfId="121"/>
    <tableColumn id="3" xr3:uid="{6CEEE699-3AB6-424C-8ABE-CC32BF566E52}" name="xPoints Av." dataDxfId="120">
      <calculatedColumnFormula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calculatedColumnFormula>
    </tableColumn>
    <tableColumn id="4" xr3:uid="{A310C4FC-022E-4EEB-9370-5CC841A977A1}" name="Regularity" dataDxfId="119">
      <calculatedColumnFormula>(WOL[[#This Row],[60+Mins Last Season]]/WOL[[#This Row],[Possible 60+Mins Last Season]] * (38-MAX(GameRecord[GW]))/38) + (WOL[[#This Row],[60+Mins This Season]]/WOL[[#This Row],[Possible 60+Mins This Season]] * (MAX(GameRecord[GW]))/38)</calculatedColumnFormula>
    </tableColumn>
    <tableColumn id="5" xr3:uid="{ACCE0BC5-4399-488E-A2B6-875C597B22A6}" name="xGp90 Last Season" dataDxfId="118"/>
    <tableColumn id="6" xr3:uid="{5BBDA334-18B4-4838-A5C6-84988BD82F45}" name="xAp90 Last Season" dataDxfId="117"/>
    <tableColumn id="7" xr3:uid="{A7373802-F43B-45E7-BBB9-2FAB7B44B301}" name="CSp90 Last Season" dataDxfId="116"/>
    <tableColumn id="11" xr3:uid="{6879DEEB-B9D7-4F27-8513-627C89E30182}" name="60+Mins Last Season" dataDxfId="115"/>
    <tableColumn id="12" xr3:uid="{33C3ADCF-8969-4527-860C-4B88410E2DBA}" name="Possible 60+Mins Last Season" dataDxfId="114"/>
    <tableColumn id="8" xr3:uid="{8714A637-389D-4036-96AE-2F150E743807}" name="xGp90 This Season" dataDxfId="113"/>
    <tableColumn id="9" xr3:uid="{45E1DF51-99C1-4FCA-B1E0-2C1563DD1DD8}" name="xAp90 This Season" dataDxfId="112"/>
    <tableColumn id="10" xr3:uid="{C16A0AD0-7E2F-4397-B841-DD8C243C5785}" name="CSp90 This Season" dataDxfId="111"/>
    <tableColumn id="13" xr3:uid="{A6AAE84F-531D-4B5F-A24A-425CD68A3B4D}" name="60+Mins This Season" dataDxfId="110"/>
    <tableColumn id="14" xr3:uid="{BDC10834-ABF6-4458-A9F4-13825AF428E3}" name="Possible 60+Mins This Season" dataDxfId="109"/>
    <tableColumn id="15" xr3:uid="{0A3048A2-4AFE-4457-8214-A70F6E2F038A}" name="Price" dataDxfId="108"/>
    <tableColumn id="16" xr3:uid="{789C31FF-ACB7-44DA-A91A-66B84C507566}" name="Quality" dataDxfId="107">
      <calculatedColumnFormula>WOL[[#This Row],[xPoints Av.]]*WOL[[#This Row],[Regularity]]</calculatedColumnFormula>
    </tableColumn>
    <tableColumn id="17" xr3:uid="{DBE3538F-3C60-4283-B044-D730FC699CE6}" name="Team" dataDxfId="106"/>
  </tableColumns>
  <tableStyleInfo name="TableStyleMedium2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3B0BB3-389C-499A-8281-2C182D705241}" name="BOU" displayName="BOU" ref="A2:M21" totalsRowShown="0" headerRowDxfId="105" dataDxfId="104">
  <autoFilter ref="A2:M21" xr:uid="{8C3B0BB3-389C-499A-8281-2C182D705241}"/>
  <sortState xmlns:xlrd2="http://schemas.microsoft.com/office/spreadsheetml/2017/richdata2" ref="A3:M21">
    <sortCondition descending="1" ref="L2:L21"/>
  </sortState>
  <tableColumns count="13">
    <tableColumn id="1" xr3:uid="{A5CAD98D-4808-441A-9B7D-39C7C8DC9DD3}" name="Player" dataDxfId="103"/>
    <tableColumn id="2" xr3:uid="{D1B3A6AD-7B20-4392-AFBF-06B4C3D8939D}" name="Pos." dataDxfId="102"/>
    <tableColumn id="5" xr3:uid="{74ECF4FC-8A38-40D8-8BDC-4CAB688E2ECC}" name="xPoints Scaled" dataDxfId="101">
      <calculatedColumnFormula>IF(MAX(GameRecord[GW]) &lt;= 19, BOU[[#This Row],[xPoints Av.]] *1.5, BOU[[#This Row],[xPoints Av.]])</calculatedColumnFormula>
    </tableColumn>
    <tableColumn id="3" xr3:uid="{86E1CAA2-EAA5-4D9D-9177-3F51ABBFFB25}" name="xPoints Av." dataDxfId="100">
      <calculatedColumnFormula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calculatedColumnFormula>
    </tableColumn>
    <tableColumn id="4" xr3:uid="{B13334BF-5FC3-435A-A2CA-4B112A38D715}" name="Regularity" dataDxfId="99">
      <calculatedColumnFormula>(BOU[[#This Row],[60+Mins This Season]]/BOU[[#This Row],[Possible 60+Mins This Season]])</calculatedColumnFormula>
    </tableColumn>
    <tableColumn id="8" xr3:uid="{C8D2F795-9999-47CA-9FC0-60CDE27D7F72}" name="xGp90 This Season" dataDxfId="98"/>
    <tableColumn id="9" xr3:uid="{C0BD0381-DFFE-41DF-BE98-857D2A9472D5}" name="xAp90 This Season" dataDxfId="97"/>
    <tableColumn id="10" xr3:uid="{E896A5FB-4F3B-4F3C-A3FF-68374DE4265F}" name="CSp90 This Season" dataDxfId="96"/>
    <tableColumn id="13" xr3:uid="{612D8CC3-752C-449D-BD82-3D7ED1FB2BDB}" name="60+Mins This Season" dataDxfId="95"/>
    <tableColumn id="14" xr3:uid="{46A885F1-1B7E-4C44-ACCB-D997EDE8E50D}" name="Possible 60+Mins This Season" dataDxfId="94"/>
    <tableColumn id="15" xr3:uid="{005B4015-C885-4591-BEDA-F1FF89B8C19B}" name="Price" dataDxfId="93"/>
    <tableColumn id="16" xr3:uid="{61E0527D-5910-4A3B-BE53-EF3745D1934A}" name="Quality" dataDxfId="92">
      <calculatedColumnFormula>BOU[[#This Row],[xPoints Scaled]]*BOU[[#This Row],[Regularity]]</calculatedColumnFormula>
    </tableColumn>
    <tableColumn id="17" xr3:uid="{3B1895A1-E055-4979-89ED-F7F0B08453AA}" name="Team" dataDxfId="91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FAC818-6A42-4E03-9F86-44158E52FEE1}" name="BRE_28" displayName="BRE_28" ref="A1:Q16" totalsRowShown="0" headerRowDxfId="758" dataDxfId="757">
  <autoFilter ref="A1:Q16" xr:uid="{F8FAC818-6A42-4E03-9F86-44158E52FEE1}"/>
  <sortState xmlns:xlrd2="http://schemas.microsoft.com/office/spreadsheetml/2017/richdata2" ref="A2:Q16">
    <sortCondition ref="B1:B16"/>
  </sortState>
  <tableColumns count="17">
    <tableColumn id="1" xr3:uid="{0D58A752-471D-4C03-930B-EFE96F8D49ED}" name="Player" dataDxfId="756"/>
    <tableColumn id="2" xr3:uid="{17B5D3BF-7868-4B47-AEF4-6131D621F6A8}" name="Pos." dataDxfId="755"/>
    <tableColumn id="3" xr3:uid="{733F213E-5CFA-4B75-B369-DB6BC3EF50D2}" name="xPoints Av." dataDxfId="754">
      <calculatedColumnFormula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calculatedColumnFormula>
    </tableColumn>
    <tableColumn id="4" xr3:uid="{359120DE-D61A-48AB-B086-273BD72CC83C}" name="Regularity" dataDxfId="753">
      <calculatedColumnFormula>(BRE_28[[#This Row],[60+Mins Last Season]]/BRE_28[[#This Row],[Possible 60+Mins Last Season]] * (38-MAX(GameRecord[GW]))/38) + (BRE_28[[#This Row],[60+Mins This Season]]/BRE_28[[#This Row],[Possible 60+Mins This Season]] * (MAX(GameRecord[GW]))/38)</calculatedColumnFormula>
    </tableColumn>
    <tableColumn id="5" xr3:uid="{7E6D919D-654A-438B-8C5B-F535EE7B8E53}" name="xGp90 Last Season" dataDxfId="752"/>
    <tableColumn id="6" xr3:uid="{946437DA-3108-45AE-96A8-D21FC52157A6}" name="xAp90 Last Season" dataDxfId="751"/>
    <tableColumn id="7" xr3:uid="{EFFDC2C9-D92A-414A-B922-B0BBD4203026}" name="CSp90 Last Season" dataDxfId="750">
      <calculatedColumnFormula>8/(2160/90)</calculatedColumnFormula>
    </tableColumn>
    <tableColumn id="11" xr3:uid="{79DB8732-D5F9-4D59-8BD0-14ACF4757100}" name="60+Mins Last Season" dataDxfId="749"/>
    <tableColumn id="12" xr3:uid="{AD5BAE83-9A02-49D7-BA29-444539627E45}" name="Possible 60+Mins Last Season" dataDxfId="748"/>
    <tableColumn id="8" xr3:uid="{65087BCC-34D0-4AC4-BBBE-DB92A3BC71F3}" name="xGp90 This Season" dataDxfId="747"/>
    <tableColumn id="9" xr3:uid="{C0AB88E6-1119-42F6-9120-F122A9A0DDD4}" name="xAp90 This Season" dataDxfId="746"/>
    <tableColumn id="10" xr3:uid="{928DEBC8-D03B-4026-932B-BA97C6776081}" name="CSp90 This Season" dataDxfId="745"/>
    <tableColumn id="13" xr3:uid="{3EE15295-1FAF-4F89-8776-DD13DDF8783B}" name="60+Mins This Season" dataDxfId="744"/>
    <tableColumn id="14" xr3:uid="{7F5AE3A9-282F-4D5D-8907-ECF04C333DE2}" name="Possible 60+Mins This Season" dataDxfId="743"/>
    <tableColumn id="15" xr3:uid="{5BB1290E-48E2-431C-B3D0-28215890AED1}" name="Price" dataDxfId="742"/>
    <tableColumn id="16" xr3:uid="{D16D1FBF-9A45-47F1-9A50-DE6343442B9A}" name="Quality" dataDxfId="741">
      <calculatedColumnFormula>BRE_28[[#This Row],[xPoints Av.]]*BRE_28[[#This Row],[Regularity]]</calculatedColumnFormula>
    </tableColumn>
    <tableColumn id="17" xr3:uid="{1786170F-1653-4535-A8A5-45FDA3E714D6}" name="Team" dataDxfId="740"/>
  </tableColumns>
  <tableStyleInfo name="TableStyleMedium2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CA5446-016C-4F0F-99FE-B05591BD34F4}" name="FUL" displayName="FUL" ref="A24:M43" totalsRowShown="0" headerRowDxfId="90" dataDxfId="89">
  <autoFilter ref="A24:M43" xr:uid="{48CA5446-016C-4F0F-99FE-B05591BD34F4}"/>
  <sortState xmlns:xlrd2="http://schemas.microsoft.com/office/spreadsheetml/2017/richdata2" ref="A25:M43">
    <sortCondition descending="1" ref="L2:L21"/>
  </sortState>
  <tableColumns count="13">
    <tableColumn id="1" xr3:uid="{BE61AB48-7E15-44E4-8122-B2824CDAD8D3}" name="Player" dataDxfId="88"/>
    <tableColumn id="2" xr3:uid="{86311A6F-7193-4C34-A37F-1DD6411DCF45}" name="Pos." dataDxfId="87"/>
    <tableColumn id="5" xr3:uid="{DFA8837F-8584-48D6-8537-8202A07709AD}" name="xPoints Scaled" dataDxfId="86">
      <calculatedColumnFormula>IF(MAX(GameRecord[GW]) &lt;= 19, FUL[[#This Row],[xPoints Av.]] *1.5, FUL[[#This Row],[xPoints Av.]])</calculatedColumnFormula>
    </tableColumn>
    <tableColumn id="3" xr3:uid="{F4B9976E-2DE9-4815-9790-B46B675DA05C}" name="xPoints Av." dataDxfId="85">
      <calculatedColumnFormula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calculatedColumnFormula>
    </tableColumn>
    <tableColumn id="4" xr3:uid="{7B5744D1-24B3-4321-8224-15E2D346CDE6}" name="Regularity" dataDxfId="84">
      <calculatedColumnFormula>(FUL[[#This Row],[60+Mins This Season]]/FUL[[#This Row],[Possible 60+Mins This Season]])</calculatedColumnFormula>
    </tableColumn>
    <tableColumn id="8" xr3:uid="{9D92B048-8638-4577-8F50-43F80B9C992E}" name="xGp90 This Season" dataDxfId="83"/>
    <tableColumn id="9" xr3:uid="{F9C8C412-B7F6-4F28-B1E8-CDF45DD708DD}" name="xAp90 This Season" dataDxfId="82"/>
    <tableColumn id="10" xr3:uid="{24528A9F-FECC-44AE-ACC0-4A7C13975FA0}" name="CSp90 This Season" dataDxfId="81"/>
    <tableColumn id="13" xr3:uid="{19CE0816-E2DA-4C53-AFF4-5559D7215CE4}" name="60+Mins This Season" dataDxfId="80"/>
    <tableColumn id="14" xr3:uid="{4DB51F6D-74AF-4790-910B-F3995246D15B}" name="Possible 60+Mins This Season" dataDxfId="79"/>
    <tableColumn id="15" xr3:uid="{18733881-E98E-4352-B76B-29BDD898D9FB}" name="Price" dataDxfId="78"/>
    <tableColumn id="16" xr3:uid="{CE703184-7965-4CC2-A6F9-FD5D3B8D987E}" name="Quality" dataDxfId="77">
      <calculatedColumnFormula>FUL[[#This Row],[xPoints Scaled]]*FUL[[#This Row],[Regularity]]</calculatedColumnFormula>
    </tableColumn>
    <tableColumn id="17" xr3:uid="{D92760CC-5CA3-462F-9318-15E39D6CA3C0}" name="Team" dataDxfId="76"/>
  </tableColumns>
  <tableStyleInfo name="TableStyleMedium2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13A17F-24AB-4D1E-B464-D0CA4AE4D268}" name="FOR" displayName="FOR" ref="A46:M65" totalsRowShown="0" headerRowDxfId="75" dataDxfId="74">
  <autoFilter ref="A46:M65" xr:uid="{3413A17F-24AB-4D1E-B464-D0CA4AE4D268}"/>
  <sortState xmlns:xlrd2="http://schemas.microsoft.com/office/spreadsheetml/2017/richdata2" ref="A47:M65">
    <sortCondition descending="1" ref="L2:L21"/>
  </sortState>
  <tableColumns count="13">
    <tableColumn id="1" xr3:uid="{0628BEF2-665C-48A9-A561-BCEB1606276F}" name="Player" dataDxfId="73"/>
    <tableColumn id="2" xr3:uid="{FFD644EE-E088-4E73-8F59-A5590B9198D1}" name="Pos." dataDxfId="72"/>
    <tableColumn id="5" xr3:uid="{1734AD58-363C-4330-BEA5-AE911085095F}" name="xPoints Scaled" dataDxfId="71">
      <calculatedColumnFormula>IF(MAX(GameRecord[GW]) &lt;= 19, FOR[[#This Row],[xPoints Av.]] *1.5, FOR[[#This Row],[xPoints Av.]])</calculatedColumnFormula>
    </tableColumn>
    <tableColumn id="3" xr3:uid="{3B9B6225-606F-4812-89A5-1A4396777E45}" name="xPoints Av." dataDxfId="70">
      <calculatedColumnFormula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calculatedColumnFormula>
    </tableColumn>
    <tableColumn id="4" xr3:uid="{7B56CE8A-8B8A-4E57-A9CF-CB940ABE29F3}" name="Regularity" dataDxfId="69">
      <calculatedColumnFormula>(FOR[[#This Row],[60+Mins This Season]]/FOR[[#This Row],[Possible 60+Mins This Season]])</calculatedColumnFormula>
    </tableColumn>
    <tableColumn id="8" xr3:uid="{055ADCDB-A3A5-467F-BA38-7E20736D3AE8}" name="xGp90 This Season" dataDxfId="68"/>
    <tableColumn id="9" xr3:uid="{D88DE73B-E1C3-44E7-9539-943AB12E8FFF}" name="xAp90 This Season" dataDxfId="67"/>
    <tableColumn id="10" xr3:uid="{A3096974-9EB6-4101-B2F3-9A4035CF6865}" name="CSp90 This Season" dataDxfId="66"/>
    <tableColumn id="13" xr3:uid="{7C4D0772-B3A5-442A-B96B-06F479B9570C}" name="60+Mins This Season" dataDxfId="65"/>
    <tableColumn id="14" xr3:uid="{05826707-F0D4-4812-97BA-C7A6B950042A}" name="Possible 60+Mins This Season" dataDxfId="64"/>
    <tableColumn id="15" xr3:uid="{9D3DDF44-A2D8-43D8-B28A-E35E473FEB55}" name="Price" dataDxfId="63"/>
    <tableColumn id="16" xr3:uid="{04C6904B-63D1-4091-93ED-56589B7EB1D3}" name="Quality" dataDxfId="62">
      <calculatedColumnFormula>FOR[[#This Row],[xPoints Scaled]]*FOR[[#This Row],[Regularity]]</calculatedColumnFormula>
    </tableColumn>
    <tableColumn id="17" xr3:uid="{AE9AD11B-5814-4F6B-82C6-01FBDE6EA3A7}" name="Team" dataDxfId="61"/>
  </tableColumns>
  <tableStyleInfo name="TableStyleMedium2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97FAC-4C2F-45D4-A16C-657FAF6004FA}" name="Teams" displayName="Teams" ref="A1:J21" totalsRowShown="0" headerRowDxfId="60" dataDxfId="59">
  <autoFilter ref="A1:J21" xr:uid="{C4F97FAC-4C2F-45D4-A16C-657FAF6004FA}"/>
  <sortState xmlns:xlrd2="http://schemas.microsoft.com/office/spreadsheetml/2017/richdata2" ref="A2:J21">
    <sortCondition descending="1" ref="B1:B21"/>
  </sortState>
  <tableColumns count="10">
    <tableColumn id="1" xr3:uid="{447C5659-C075-40B4-8A5D-6C041EBA7662}" name="Team" dataDxfId="58"/>
    <tableColumn id="2" xr3:uid="{BE8FE47F-1B99-4107-8B75-3689A6E1D8F9}" name="Attacking Quality" dataDxfId="57">
      <calculatedColumnFormula>Teams[[#This Row],[Raw Attack]]/MAX(Teams[Raw Attack])</calculatedColumnFormula>
    </tableColumn>
    <tableColumn id="3" xr3:uid="{4AFC533B-2558-478A-830F-546DC31A3007}" name="Defensive Quality" dataDxfId="56">
      <calculatedColumnFormula>1/(Teams[[#This Row],[Raw Defence]]/MIN(Teams[Raw Defence]))</calculatedColumnFormula>
    </tableColumn>
    <tableColumn id="4" xr3:uid="{67D6F50A-DB18-43A3-8DD4-7899AFEB22BA}" name="Goals Last Season" dataDxfId="55"/>
    <tableColumn id="5" xr3:uid="{AE3BB789-CF49-4B73-971B-5F23046EFFAB}" name="Goals This Season" dataDxfId="54"/>
    <tableColumn id="6" xr3:uid="{AAD7731D-67F5-4778-928E-995C66784064}" name="Goals Conceded Last Season" dataDxfId="53"/>
    <tableColumn id="7" xr3:uid="{94520338-3660-4A3A-A3F8-F9D55E6B2F89}" name="Goals Conceded This Season" dataDxfId="52"/>
    <tableColumn id="9" xr3:uid="{C5D34CB4-0422-449E-80FF-D13CF0BA3DC9}" name="Promoted" dataDxfId="51"/>
    <tableColumn id="10" xr3:uid="{916ECDE6-E84C-4314-9F7D-01523495B5F0}" name="Raw Attack" dataDxfId="50">
      <calculatedColumnFormula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calculatedColumnFormula>
    </tableColumn>
    <tableColumn id="11" xr3:uid="{36AFB407-F220-41AF-A3B5-EA87F4F22369}" name="Raw Defence" dataDxfId="49">
      <calculatedColumnFormula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calculatedColumnFormula>
    </tableColumn>
  </tableColumns>
  <tableStyleInfo name="TableStyleMedium2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CF45C-43F3-4E42-B087-78015939E0D4}" name="GameRecord" displayName="GameRecord" ref="A1:U39" totalsRowShown="0" headerRowDxfId="48" dataDxfId="47">
  <autoFilter ref="A1:U39" xr:uid="{0D3CF45C-43F3-4E42-B087-78015939E0D4}"/>
  <tableColumns count="21">
    <tableColumn id="1" xr3:uid="{2C10DA4C-4087-4832-83D5-C1FB97695CC8}" name="GW" dataDxfId="46"/>
    <tableColumn id="2" xr3:uid="{F3465176-B5F8-4AD8-A761-C16690922848}" name="MCI" dataDxfId="45"/>
    <tableColumn id="3" xr3:uid="{C976437E-5DC5-47C7-AF54-C44763F7B705}" name="LIV" dataDxfId="44"/>
    <tableColumn id="4" xr3:uid="{B4C52063-DE7A-46BA-A711-C312BDCE13BD}" name="CHE" dataDxfId="43"/>
    <tableColumn id="5" xr3:uid="{2B9527A2-2F58-487F-8E43-20D7C03C18C3}" name="TOT" dataDxfId="42"/>
    <tableColumn id="6" xr3:uid="{42B0BD51-714E-43B4-A9FD-64A2498109DB}" name="ARS" dataDxfId="41"/>
    <tableColumn id="7" xr3:uid="{EDCBC303-CF51-4C29-8A23-A221F14884C7}" name="MUN" dataDxfId="40"/>
    <tableColumn id="8" xr3:uid="{4CF42C0E-836E-423C-88CA-A81AD7E401BA}" name="WHU" dataDxfId="39"/>
    <tableColumn id="9" xr3:uid="{C4519DAF-25FA-45E1-AD95-634CC7C4EF8C}" name="LEI" dataDxfId="38"/>
    <tableColumn id="10" xr3:uid="{7D3A6130-1818-4724-83C7-ECC36B5D3D0E}" name="BHA" dataDxfId="37"/>
    <tableColumn id="11" xr3:uid="{B5834740-EA40-4570-B9C4-8E7D4E9B8A17}" name="WOL" dataDxfId="36"/>
    <tableColumn id="12" xr3:uid="{074BCB2A-7631-4C54-975F-F293DE986CA6}" name="NEW" dataDxfId="35"/>
    <tableColumn id="13" xr3:uid="{3DBF4A53-81D6-413E-A7B6-4EF4B6E2D9A8}" name="CRY" dataDxfId="34"/>
    <tableColumn id="14" xr3:uid="{64739689-6CE1-4EF3-A107-7EFA99A2703E}" name="BRE" dataDxfId="33"/>
    <tableColumn id="15" xr3:uid="{7240C7B8-0861-474C-95FB-EAD618D3B90A}" name="AVL" dataDxfId="32"/>
    <tableColumn id="16" xr3:uid="{04113131-4E7F-49D7-B105-7B76A04D3965}" name="SOU" dataDxfId="31"/>
    <tableColumn id="17" xr3:uid="{8964C738-4FAF-48B2-9078-B05BAB00EE40}" name="EVE" dataDxfId="30"/>
    <tableColumn id="18" xr3:uid="{71377ED9-AB38-4F31-8351-34CB79AE6FB9}" name="LEE" dataDxfId="29"/>
    <tableColumn id="19" xr3:uid="{0187EE07-E393-436F-8A2C-E625615FA992}" name="FUL" dataDxfId="28"/>
    <tableColumn id="20" xr3:uid="{8F542E58-7840-4163-9EC3-EE2EDE3688C8}" name="BOU" dataDxfId="27"/>
    <tableColumn id="21" xr3:uid="{74DD2A47-17E5-47C8-B4F7-EC812ADE3EC4}" name="FOR" dataDxfId="26"/>
  </tableColumns>
  <tableStyleInfo name="TableStyleMedium20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4229E4C-40E0-47B0-8E5A-6EF4F08ECB81}" name="GameRecord46" displayName="GameRecord46" ref="A1:U39" totalsRowShown="0" headerRowDxfId="25" dataDxfId="24">
  <autoFilter ref="A1:U39" xr:uid="{0D3CF45C-43F3-4E42-B087-78015939E0D4}"/>
  <tableColumns count="21">
    <tableColumn id="1" xr3:uid="{782041C3-E1F7-4C77-89D2-4A8E66BF34A4}" name="GW" dataDxfId="23"/>
    <tableColumn id="2" xr3:uid="{37F195AF-2337-4DA9-AD1B-5B5B231DC4A2}" name="MCI" dataDxfId="22"/>
    <tableColumn id="3" xr3:uid="{1D761EBC-4EBD-473B-B3A4-0F29D5FAD9F0}" name="LIV" dataDxfId="21"/>
    <tableColumn id="4" xr3:uid="{F0C61389-550E-4B9C-8E6C-E93B764EE8C0}" name="CHE" dataDxfId="20"/>
    <tableColumn id="5" xr3:uid="{1C254DB8-F1B7-4E29-8778-9C9B9B168924}" name="TOT" dataDxfId="19"/>
    <tableColumn id="6" xr3:uid="{7C0AE5D1-48A3-4592-A1A4-C585262CD785}" name="ARS" dataDxfId="18"/>
    <tableColumn id="7" xr3:uid="{30CC5712-84ED-4C89-BFFC-B83EF069F477}" name="MUN" dataDxfId="17"/>
    <tableColumn id="8" xr3:uid="{D8DD8D28-10D2-4437-B6EA-EFFF25C04FF8}" name="WHU" dataDxfId="16"/>
    <tableColumn id="9" xr3:uid="{3BA8CA40-DAC4-4705-B720-11BE6F659C1B}" name="LEI" dataDxfId="15"/>
    <tableColumn id="10" xr3:uid="{E55A19A2-DD83-46D9-A419-F28FDDD7D4FB}" name="BHA" dataDxfId="14"/>
    <tableColumn id="11" xr3:uid="{4480384A-8D40-4811-B5F4-E0EFDDB4E779}" name="WOL" dataDxfId="13"/>
    <tableColumn id="12" xr3:uid="{B5BC0C1E-4D3B-4005-83D1-24425897B073}" name="NEW" dataDxfId="12"/>
    <tableColumn id="13" xr3:uid="{D86BEE67-853F-4E99-8A1C-E98EFDCB7FB4}" name="CRY" dataDxfId="11"/>
    <tableColumn id="14" xr3:uid="{E8888297-D249-41A5-9404-9D1C2966EB15}" name="BRE" dataDxfId="10"/>
    <tableColumn id="15" xr3:uid="{8B1F8B92-7BA3-4DF0-BFB9-EF9ED59E6FEA}" name="AVL" dataDxfId="9"/>
    <tableColumn id="16" xr3:uid="{0726DDF3-9636-4592-99F7-263895312789}" name="SOU" dataDxfId="8"/>
    <tableColumn id="17" xr3:uid="{EDF1BD3F-2EEC-4899-874B-FEB32779A7EB}" name="EVE" dataDxfId="7"/>
    <tableColumn id="18" xr3:uid="{6DEB2BF9-51C7-42BF-8F0B-DD837FF7C4C0}" name="LEE" dataDxfId="6"/>
    <tableColumn id="19" xr3:uid="{821ADB62-9321-47CB-BAD2-82416D34A4FA}" name="FUL" dataDxfId="5"/>
    <tableColumn id="20" xr3:uid="{47AB53C6-0329-43C9-BDD8-BF943902098A}" name="BOU" dataDxfId="4"/>
    <tableColumn id="21" xr3:uid="{8C4BE3AD-1706-4AFD-BC21-7F6BF724C2F3}" name="FOR" dataDxfId="3"/>
  </tableColumns>
  <tableStyleInfo name="TableStyleMedium2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B1A525-1194-4634-9833-76168105374E}" name="Championship" displayName="Championship" ref="A1:G14" totalsRowShown="0">
  <autoFilter ref="A1:G14" xr:uid="{AAB1A525-1194-4634-9833-76168105374E}"/>
  <tableColumns count="7">
    <tableColumn id="1" xr3:uid="{8FD3F240-B0CA-450E-86BB-BDC7FA581244}" name="Team"/>
    <tableColumn id="2" xr3:uid="{2521135A-E66C-4DCB-ABE7-BB2C2C4F4FEF}" name="GF Before"/>
    <tableColumn id="3" xr3:uid="{F39A66D2-3D79-46D5-80C7-79E3920E9A9D}" name="GF After"/>
    <tableColumn id="4" xr3:uid="{F2349F68-66B1-419A-9DC3-2C65FEAF5A82}" name="GA Before"/>
    <tableColumn id="5" xr3:uid="{5B433E9F-440F-4EAA-ADCD-2AC387A32C18}" name="GA After"/>
    <tableColumn id="6" xr3:uid="{3861D4E0-519A-47B6-A763-934D457D5248}" name="GF Change"/>
    <tableColumn id="7" xr3:uid="{D7F4391F-531F-4835-99EE-DCAE34BB544D}" name="GA Chang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BF9FF6-CFC6-4EC1-AFEE-6E9F1673DC9C}" name="BHA_29" displayName="BHA_29" ref="A1:Q16" totalsRowShown="0" headerRowDxfId="739" dataDxfId="738">
  <autoFilter ref="A1:Q16" xr:uid="{E5BF9FF6-CFC6-4EC1-AFEE-6E9F1673DC9C}"/>
  <sortState xmlns:xlrd2="http://schemas.microsoft.com/office/spreadsheetml/2017/richdata2" ref="A2:Q16">
    <sortCondition ref="B1:B16"/>
  </sortState>
  <tableColumns count="17">
    <tableColumn id="1" xr3:uid="{33741D17-AE86-4F0F-A94A-82ADE3426B7B}" name="Player" dataDxfId="737"/>
    <tableColumn id="2" xr3:uid="{009815AD-11E4-416B-8882-F71E530F13D3}" name="Pos." dataDxfId="736"/>
    <tableColumn id="3" xr3:uid="{19B66827-578B-40E9-B817-F943D9AEB0BD}" name="xPoints Av." dataDxfId="735">
      <calculatedColumnFormula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calculatedColumnFormula>
    </tableColumn>
    <tableColumn id="4" xr3:uid="{A44F6762-5F42-452E-94F4-A26C9C4A4EE5}" name="Regularity" dataDxfId="734">
      <calculatedColumnFormula>(BHA_29[[#This Row],[60+Mins Last Season]]/BHA_29[[#This Row],[Possible 60+Mins Last Season]] * (38-MAX(GameRecord[GW]))/38) + (BHA_29[[#This Row],[60+Mins This Season]]/BHA_29[[#This Row],[Possible 60+Mins This Season]] * (MAX(GameRecord[GW]))/38)</calculatedColumnFormula>
    </tableColumn>
    <tableColumn id="5" xr3:uid="{5B304EFA-A3C7-4DC3-9CE3-7BF49AE182CF}" name="xGp90 Last Season" dataDxfId="733"/>
    <tableColumn id="6" xr3:uid="{DC8B688F-8955-45ED-A7DC-9E7CDA2F3DE4}" name="xAp90 Last Season" dataDxfId="732"/>
    <tableColumn id="7" xr3:uid="{6E5D0EEA-C0D7-42AA-9F28-F9E159B5B0E7}" name="CSp90 Last Season" dataDxfId="731">
      <calculatedColumnFormula>11/(3330/90)</calculatedColumnFormula>
    </tableColumn>
    <tableColumn id="11" xr3:uid="{EE254D8C-EF9C-4B73-8A7A-CC15DBBD2403}" name="60+Mins Last Season" dataDxfId="730"/>
    <tableColumn id="12" xr3:uid="{7409B38B-5CC8-435A-93DE-9AE64D698929}" name="Possible 60+Mins Last Season" dataDxfId="729"/>
    <tableColumn id="8" xr3:uid="{E37D42B3-D052-4642-AE58-62D4AF99A5E3}" name="xGp90 This Season" dataDxfId="728"/>
    <tableColumn id="9" xr3:uid="{E293C5EE-2407-43B4-972F-8C8F2E748DBA}" name="xAp90 This Season" dataDxfId="727"/>
    <tableColumn id="10" xr3:uid="{70CC5CA5-AAC4-4EAE-AD8C-59FD5A87F1F9}" name="CSp90 This Season" dataDxfId="726"/>
    <tableColumn id="13" xr3:uid="{BC4FB108-DC69-42ED-9C99-4AA44947EF1B}" name="60+Mins This Season" dataDxfId="725"/>
    <tableColumn id="14" xr3:uid="{DC37598B-A644-4127-BA07-E4D8C3387908}" name="Possible 60+Mins This Season" dataDxfId="724"/>
    <tableColumn id="15" xr3:uid="{083CA5A3-3C5F-4F1E-A073-7EA5054B7E72}" name="Price" dataDxfId="723"/>
    <tableColumn id="16" xr3:uid="{34887101-050A-4E21-82F4-7340D19B6C25}" name="Quality" dataDxfId="722">
      <calculatedColumnFormula>BHA_29[[#This Row],[xPoints Av.]]*BHA_29[[#This Row],[Regularity]]</calculatedColumnFormula>
    </tableColumn>
    <tableColumn id="17" xr3:uid="{DE24EAB3-A635-4AEC-BE59-A4FB0EC737C2}" name="Team" dataDxfId="721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003F5E6-1D77-45FE-8E5F-EB12D3339F34}" name="BOU_30" displayName="BOU_30" ref="A1:M20" totalsRowShown="0" headerRowDxfId="720" dataDxfId="719">
  <autoFilter ref="A1:M20" xr:uid="{5003F5E6-1D77-45FE-8E5F-EB12D3339F34}"/>
  <sortState xmlns:xlrd2="http://schemas.microsoft.com/office/spreadsheetml/2017/richdata2" ref="A2:M20">
    <sortCondition ref="B1:B20"/>
  </sortState>
  <tableColumns count="13">
    <tableColumn id="1" xr3:uid="{793B7566-03BE-4053-BD0C-F757F8BA3B01}" name="Player" dataDxfId="718"/>
    <tableColumn id="2" xr3:uid="{DAD69E85-2157-4CBD-926D-A789EB282E36}" name="Pos." dataDxfId="717"/>
    <tableColumn id="5" xr3:uid="{C059AE74-787A-4904-9383-2A8E5C9CC3FD}" name="xPoints Scaled" dataDxfId="716">
      <calculatedColumnFormula>IF(MAX(GameRecord[GW]) &lt;= 19, BOU_30[[#This Row],[xPoints Av.]] *1, BOU_30[[#This Row],[xPoints Av.]])</calculatedColumnFormula>
    </tableColumn>
    <tableColumn id="3" xr3:uid="{20795150-17A6-4E7A-8BF4-F03E77E679EB}" name="xPoints Av." dataDxfId="715">
      <calculatedColumnFormula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calculatedColumnFormula>
    </tableColumn>
    <tableColumn id="4" xr3:uid="{ECAC8EAE-F264-4175-B640-5ACD66CC5204}" name="Regularity" dataDxfId="714">
      <calculatedColumnFormula>(BOU_30[[#This Row],[60+Mins This Season]]/BOU_30[[#This Row],[Possible 60+Mins This Season]])</calculatedColumnFormula>
    </tableColumn>
    <tableColumn id="8" xr3:uid="{2A03D58A-A86E-449D-8142-9F867798B072}" name="xGp90 This Season" dataDxfId="713"/>
    <tableColumn id="9" xr3:uid="{425E8C1A-2580-487C-8525-D8C0D49B0539}" name="xAp90 This Season" dataDxfId="712"/>
    <tableColumn id="10" xr3:uid="{3F3B8D42-1DAB-4760-8947-FA851136BB56}" name="CSp90 This Season" dataDxfId="711"/>
    <tableColumn id="13" xr3:uid="{173FBCCE-88EA-42AA-834E-0559E84AC6EF}" name="60+Mins This Season" dataDxfId="710"/>
    <tableColumn id="14" xr3:uid="{A311EAD8-577D-4021-A53D-88ED09AB3129}" name="Possible 60+Mins This Season" dataDxfId="709"/>
    <tableColumn id="15" xr3:uid="{C2DF1112-A2F8-40F8-9AE2-9DEF98DC5A28}" name="Price" dataDxfId="708"/>
    <tableColumn id="16" xr3:uid="{E8F40341-6281-4FCC-8444-A328904F9A83}" name="Quality" dataDxfId="707">
      <calculatedColumnFormula>BOU_30[[#This Row],[xPoints Scaled]]*BOU_30[[#This Row],[Regularity]]</calculatedColumnFormula>
    </tableColumn>
    <tableColumn id="17" xr3:uid="{C95BE1C7-6A2C-4243-92AA-25CA94084EC1}" name="Team" dataDxfId="706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EEE04C-F316-4584-A984-F9A895FAD12A}" name="CHE_31" displayName="CHE_31" ref="A1:Q19" totalsRowShown="0" headerRowDxfId="705" dataDxfId="704">
  <autoFilter ref="A1:Q19" xr:uid="{00EEE04C-F316-4584-A984-F9A895FAD12A}"/>
  <sortState xmlns:xlrd2="http://schemas.microsoft.com/office/spreadsheetml/2017/richdata2" ref="A2:Q18">
    <sortCondition ref="B1:B18"/>
  </sortState>
  <tableColumns count="17">
    <tableColumn id="1" xr3:uid="{CA1A7108-F2E4-4A92-8883-58DA39C8BBBE}" name="Player" dataDxfId="703"/>
    <tableColumn id="2" xr3:uid="{9C3C2CC0-4AA9-424C-8FAA-04E1C8394132}" name="Pos." dataDxfId="702"/>
    <tableColumn id="3" xr3:uid="{F5DBE033-DAE3-4C62-8A55-B9C2377715BA}" name="xPoints Av." dataDxfId="701">
      <calculatedColumnFormula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calculatedColumnFormula>
    </tableColumn>
    <tableColumn id="4" xr3:uid="{589CDA31-9DFB-4B16-AA72-63BE0471798B}" name="Regularity" dataDxfId="700">
      <calculatedColumnFormula>(CHE_31[[#This Row],[60+Mins Last Season]]/CHE_31[[#This Row],[Possible 60+Mins Last Season]] * (38-MAX(GameRecord[GW]))/38) + (CHE_31[[#This Row],[60+Mins This Season]]/CHE_31[[#This Row],[Possible 60+Mins This Season]] * (MAX(GameRecord[GW]))/38)</calculatedColumnFormula>
    </tableColumn>
    <tableColumn id="5" xr3:uid="{376D9F9A-0E93-449A-B4A8-CBD5F3072ABA}" name="xGp90 Last Season" dataDxfId="699"/>
    <tableColumn id="6" xr3:uid="{A822486A-1A8A-43AA-8B8D-8E78F770F79A}" name="xAp90 Last Season" dataDxfId="698"/>
    <tableColumn id="7" xr3:uid="{7FF51D20-60B5-48F7-95BA-77447E75A09D}" name="CSp90 Last Season" dataDxfId="697">
      <calculatedColumnFormula>14/(3060/90)</calculatedColumnFormula>
    </tableColumn>
    <tableColumn id="11" xr3:uid="{4239D8C5-0CE3-40A0-BAA8-8694C96BBBD1}" name="60+Mins Last Season" dataDxfId="696"/>
    <tableColumn id="12" xr3:uid="{6B559E96-9951-4DA9-B69F-5BE36CC9D2AF}" name="Possible 60+Mins Last Season" dataDxfId="695"/>
    <tableColumn id="8" xr3:uid="{16845267-0379-44BC-9BCD-AED9EE3D572D}" name="xGp90 This Season" dataDxfId="694"/>
    <tableColumn id="9" xr3:uid="{70DEBFAF-9EE8-481A-9D34-94AB5F5139CF}" name="xAp90 This Season" dataDxfId="693"/>
    <tableColumn id="10" xr3:uid="{1B52D9AF-567C-4174-938B-7BB7FD237C2F}" name="CSp90 This Season" dataDxfId="692"/>
    <tableColumn id="13" xr3:uid="{8F36CB54-754D-4B16-8FE2-C854BBA04957}" name="60+Mins This Season" dataDxfId="691"/>
    <tableColumn id="14" xr3:uid="{BC2185F7-E63F-4DBA-A9EA-8371806D8576}" name="Possible 60+Mins This Season" dataDxfId="690"/>
    <tableColumn id="15" xr3:uid="{641AE725-5E12-4494-913A-0B2435AE0A8F}" name="Price" dataDxfId="689"/>
    <tableColumn id="16" xr3:uid="{9EB0DA4E-355C-4D98-A4C4-7BDDEF022D86}" name="Quality" dataDxfId="688">
      <calculatedColumnFormula>CHE_31[[#This Row],[xPoints Av.]]*CHE_31[[#This Row],[Regularity]]</calculatedColumnFormula>
    </tableColumn>
    <tableColumn id="17" xr3:uid="{A87A4DD0-037C-4921-9A95-D7FEC686085D}" name="Team" dataDxfId="687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1727112-C5B5-4CFD-B6D8-FCC1C9869A8C}" name="CRY_32" displayName="CRY_32" ref="A1:Q15" totalsRowShown="0" headerRowDxfId="686" dataDxfId="685">
  <autoFilter ref="A1:Q15" xr:uid="{B1727112-C5B5-4CFD-B6D8-FCC1C9869A8C}"/>
  <sortState xmlns:xlrd2="http://schemas.microsoft.com/office/spreadsheetml/2017/richdata2" ref="A2:Q15">
    <sortCondition ref="B1:B15"/>
  </sortState>
  <tableColumns count="17">
    <tableColumn id="1" xr3:uid="{14455DF9-85C2-4823-86FB-8D8A02726006}" name="Player" dataDxfId="684"/>
    <tableColumn id="2" xr3:uid="{C0120AAF-14BD-4D85-8C4E-FA7B41FF9B34}" name="Pos." dataDxfId="683"/>
    <tableColumn id="3" xr3:uid="{C51A2B3B-D6DB-4A5F-B13C-7755800598E6}" name="xPoints Av." dataDxfId="682">
      <calculatedColumnFormula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calculatedColumnFormula>
    </tableColumn>
    <tableColumn id="4" xr3:uid="{D507DE23-568D-475E-B455-9470AC8914A5}" name="Regularity" dataDxfId="681">
      <calculatedColumnFormula>(CRY_32[[#This Row],[60+Mins Last Season]]/CRY_32[[#This Row],[Possible 60+Mins Last Season]] * (38-MAX(GameRecord[GW]))/38) + (CRY_32[[#This Row],[60+Mins This Season]]/CRY_32[[#This Row],[Possible 60+Mins This Season]] * (MAX(GameRecord[GW]))/38)</calculatedColumnFormula>
    </tableColumn>
    <tableColumn id="5" xr3:uid="{3FD0D6E8-6FB8-40B7-84A2-653BD62F0809}" name="xGp90 Last Season" dataDxfId="680"/>
    <tableColumn id="6" xr3:uid="{561A8BF9-DF10-4914-8F34-AD4DB62767C9}" name="xAp90 Last Season" dataDxfId="679"/>
    <tableColumn id="7" xr3:uid="{CD79E2C9-4071-4907-BFAB-73970A14464E}" name="CSp90 Last Season" dataDxfId="678"/>
    <tableColumn id="11" xr3:uid="{968AEBCA-2D73-498A-BF87-4280F7F430CE}" name="60+Mins Last Season" dataDxfId="677"/>
    <tableColumn id="12" xr3:uid="{8DF87B2D-1F80-4962-B603-FDB89DFCB97D}" name="Possible 60+Mins Last Season" dataDxfId="676"/>
    <tableColumn id="8" xr3:uid="{1214BCDF-EBE4-4F99-B0E7-9257E49481A2}" name="xGp90 This Season" dataDxfId="675"/>
    <tableColumn id="9" xr3:uid="{C85363CD-87AF-41DA-B7E3-D0F8972E6012}" name="xAp90 This Season" dataDxfId="674"/>
    <tableColumn id="10" xr3:uid="{62612602-CCA1-46C6-94D8-C1235763E018}" name="CSp90 This Season" dataDxfId="673"/>
    <tableColumn id="13" xr3:uid="{7B9627A2-87C0-4EBC-9121-9DE0B54F588F}" name="60+Mins This Season" dataDxfId="672"/>
    <tableColumn id="14" xr3:uid="{D0F30874-7563-4CBA-9D78-3E99FC1517FE}" name="Possible 60+Mins This Season" dataDxfId="671"/>
    <tableColumn id="15" xr3:uid="{76A0DC62-2E78-46B6-948A-7435B093BBA1}" name="Price" dataDxfId="670"/>
    <tableColumn id="16" xr3:uid="{618666F7-8F3A-4C0E-AA66-9BB3EEBE7D5F}" name="Quality" dataDxfId="669">
      <calculatedColumnFormula>CRY_32[[#This Row],[xPoints Av.]]*CRY_32[[#This Row],[Regularity]]</calculatedColumnFormula>
    </tableColumn>
    <tableColumn id="17" xr3:uid="{021D268F-420C-49B2-8E91-41577D15200F}" name="Team" dataDxfId="668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8757360-4980-4691-8275-19534EFA8A08}" name="EVE_33" displayName="EVE_33" ref="A1:Q17" totalsRowShown="0" headerRowDxfId="667" dataDxfId="666">
  <autoFilter ref="A1:Q17" xr:uid="{98757360-4980-4691-8275-19534EFA8A08}"/>
  <sortState xmlns:xlrd2="http://schemas.microsoft.com/office/spreadsheetml/2017/richdata2" ref="A2:Q17">
    <sortCondition ref="B1:B17"/>
  </sortState>
  <tableColumns count="17">
    <tableColumn id="1" xr3:uid="{DD392FC9-1248-4EAC-ADB6-421B97D80254}" name="Player" dataDxfId="665"/>
    <tableColumn id="2" xr3:uid="{E2052F0E-DA15-47A3-AED2-80B297901E5C}" name="Pos." dataDxfId="664"/>
    <tableColumn id="3" xr3:uid="{F6A90047-B277-4B48-8E69-8C51A10BE3FE}" name="xPoints Av." dataDxfId="663">
      <calculatedColumnFormula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calculatedColumnFormula>
    </tableColumn>
    <tableColumn id="4" xr3:uid="{268F7DE9-BAE9-4463-9AA1-A7886552AC39}" name="Regularity" dataDxfId="662">
      <calculatedColumnFormula>(EVE_33[[#This Row],[60+Mins Last Season]]/EVE_33[[#This Row],[Possible 60+Mins Last Season]] * (38-MAX(GameRecord[GW]))/38) + (EVE_33[[#This Row],[60+Mins This Season]]/EVE_33[[#This Row],[Possible 60+Mins This Season]] * (MAX(GameRecord[GW]))/38)</calculatedColumnFormula>
    </tableColumn>
    <tableColumn id="5" xr3:uid="{6E20CB01-3D09-494F-8C40-949880AC110E}" name="xGp90 Last Season" dataDxfId="661"/>
    <tableColumn id="6" xr3:uid="{8E7404F5-932F-413A-B380-DCEF2D1D25F2}" name="xAp90 Last Season" dataDxfId="660"/>
    <tableColumn id="7" xr3:uid="{5285039B-4333-4687-AC92-C7400631EE00}" name="CSp90 Last Season" dataDxfId="659"/>
    <tableColumn id="11" xr3:uid="{96992C08-41D3-443C-893D-AFD798523959}" name="60+Mins Last Season" dataDxfId="658"/>
    <tableColumn id="12" xr3:uid="{7636EB4A-A6BE-406C-BD6A-66FD81BD9978}" name="Possible 60+Mins Last Season" dataDxfId="657"/>
    <tableColumn id="8" xr3:uid="{5AEF045E-F442-4BD2-A030-E545F1F6CBA7}" name="xGp90 This Season" dataDxfId="656"/>
    <tableColumn id="9" xr3:uid="{98EBDB35-D9DC-4DE5-8352-4703176FE8B1}" name="xAp90 This Season" dataDxfId="655"/>
    <tableColumn id="10" xr3:uid="{BE04B181-9913-4121-B51A-65B603AA12CC}" name="CSp90 This Season" dataDxfId="654"/>
    <tableColumn id="13" xr3:uid="{65BC82E2-5B13-496F-A0C4-8714CF318193}" name="60+Mins This Season" dataDxfId="653"/>
    <tableColumn id="14" xr3:uid="{1DC3BEAB-5E3C-4C3C-9906-8E972638AA22}" name="Possible 60+Mins This Season" dataDxfId="652"/>
    <tableColumn id="15" xr3:uid="{73BEA950-921F-4BAA-A43D-6BB9D423292C}" name="Price" dataDxfId="651"/>
    <tableColumn id="16" xr3:uid="{196E1C83-FD7A-49C8-ABED-20D62461100D}" name="Quality" dataDxfId="650">
      <calculatedColumnFormula>EVE_33[[#This Row],[xPoints Av.]]*EVE_33[[#This Row],[Regularity]]</calculatedColumnFormula>
    </tableColumn>
    <tableColumn id="17" xr3:uid="{ECF1F62B-8A77-4C85-9283-59C1BF267CF1}" name="Team" dataDxfId="649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BB59-1EE9-497B-828E-91F9C335EF88}">
  <dimension ref="A1:M23"/>
  <sheetViews>
    <sheetView workbookViewId="0">
      <selection activeCell="K19" sqref="K19"/>
    </sheetView>
  </sheetViews>
  <sheetFormatPr defaultRowHeight="15" x14ac:dyDescent="0.25"/>
  <cols>
    <col min="1" max="1" width="23" customWidth="1"/>
    <col min="3" max="3" width="20" customWidth="1"/>
    <col min="4" max="4" width="16.85546875" customWidth="1"/>
    <col min="5" max="5" width="17.28515625" customWidth="1"/>
    <col min="6" max="6" width="24.85546875" customWidth="1"/>
    <col min="7" max="7" width="24.28515625" customWidth="1"/>
    <col min="8" max="8" width="25.42578125" customWidth="1"/>
    <col min="9" max="9" width="26.42578125" customWidth="1"/>
    <col min="10" max="10" width="37.28515625" customWidth="1"/>
    <col min="12" max="12" width="12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539</v>
      </c>
      <c r="B2" s="11" t="s">
        <v>84</v>
      </c>
      <c r="C2" s="12">
        <f>IF(MAX(GameRecord[GW]) &lt;= 19, NewTransfers[[#This Row],[xPoints Av.]] *1.1, NewTransfers[[#This Row],[xPoints Av.]])</f>
        <v>2.2000000000000002</v>
      </c>
      <c r="D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" s="12">
        <f>(NewTransfers[[#This Row],[60+Mins This Season]]/NewTransfers[[#This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6.5</v>
      </c>
      <c r="L2" s="12">
        <f>NewTransfers[[#This Row],[xPoints Scaled]]*NewTransfers[[#This Row],[Regularity]]</f>
        <v>2.2000000000000002</v>
      </c>
      <c r="M2" s="11" t="s">
        <v>7</v>
      </c>
    </row>
    <row r="3" spans="1:13" ht="24" x14ac:dyDescent="0.45">
      <c r="A3" s="11" t="s">
        <v>501</v>
      </c>
      <c r="B3" s="11" t="s">
        <v>84</v>
      </c>
      <c r="C3" s="12">
        <f>IF(MAX(GameRecord[GW]) &lt;= 19, NewTransfers[[#This Row],[xPoints Av.]] *3, NewTransfers[[#This Row],[xPoints Av.]])</f>
        <v>6</v>
      </c>
      <c r="D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3" s="12">
        <f>(NewTransfers[[#This Row],[60+Mins This Season]]/NewTransfers[[#This Row],[Possible 60+Mins This Season]])</f>
        <v>1</v>
      </c>
      <c r="F3" s="11"/>
      <c r="G3" s="11"/>
      <c r="H3" s="11"/>
      <c r="I3" s="11">
        <v>1</v>
      </c>
      <c r="J3" s="11">
        <v>1</v>
      </c>
      <c r="K3" s="23">
        <v>11.5</v>
      </c>
      <c r="L3" s="12">
        <f>NewTransfers[[#This Row],[xPoints Scaled]]*NewTransfers[[#This Row],[Regularity]]</f>
        <v>6</v>
      </c>
      <c r="M3" s="11" t="s">
        <v>7</v>
      </c>
    </row>
    <row r="4" spans="1:13" ht="24" x14ac:dyDescent="0.45">
      <c r="A4" s="11" t="s">
        <v>502</v>
      </c>
      <c r="B4" s="11" t="s">
        <v>64</v>
      </c>
      <c r="C4" s="12">
        <f>IF(MAX(GameRecord[GW]) &lt;= 19, NewTransfers[[#This Row],[xPoints Av.]] *2, NewTransfers[[#This Row],[xPoints Av.]])</f>
        <v>4</v>
      </c>
      <c r="D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4" s="12">
        <f>(NewTransfers[[#This Row],[60+Mins This Season]]/NewTransfers[[#This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5.5</v>
      </c>
      <c r="L4" s="12">
        <f>NewTransfers[[#This Row],[xPoints Scaled]]*NewTransfers[[#This Row],[Regularity]]</f>
        <v>4</v>
      </c>
      <c r="M4" s="11" t="s">
        <v>10</v>
      </c>
    </row>
    <row r="5" spans="1:13" ht="24" x14ac:dyDescent="0.45">
      <c r="A5" s="11" t="s">
        <v>503</v>
      </c>
      <c r="B5" s="11" t="s">
        <v>75</v>
      </c>
      <c r="C5" s="12">
        <f>IF(MAX(GameRecord[GW]) &lt;= 19, NewTransfers[[#This Row],[xPoints Av.]] *1.2, NewTransfers[[#This Row],[xPoints Av.]])</f>
        <v>2.4</v>
      </c>
      <c r="D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5" s="12">
        <f>(NewTransfers[[#This Row],[60+Mins This Season]]/NewTransfers[[#This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NewTransfers[[#This Row],[xPoints Scaled]]*NewTransfers[[#This Row],[Regularity]]</f>
        <v>2.4</v>
      </c>
      <c r="M5" s="11" t="s">
        <v>19</v>
      </c>
    </row>
    <row r="6" spans="1:13" ht="24" x14ac:dyDescent="0.45">
      <c r="A6" s="11" t="s">
        <v>504</v>
      </c>
      <c r="B6" s="11" t="s">
        <v>64</v>
      </c>
      <c r="C6" s="12">
        <f>IF(MAX(GameRecord[GW]) &lt;= 19, NewTransfers[[#This Row],[xPoints Av.]] *1.2, NewTransfers[[#This Row],[xPoints Av.]])</f>
        <v>2.4</v>
      </c>
      <c r="D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6" s="12">
        <f>(NewTransfers[[#This Row],[60+Mins This Season]]/NewTransfers[[#This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NewTransfers[[#This Row],[xPoints Scaled]]*NewTransfers[[#This Row],[Regularity]]</f>
        <v>2.4</v>
      </c>
      <c r="M6" s="11" t="s">
        <v>19</v>
      </c>
    </row>
    <row r="7" spans="1:13" ht="24" x14ac:dyDescent="0.45">
      <c r="A7" s="11" t="s">
        <v>505</v>
      </c>
      <c r="B7" s="11" t="s">
        <v>62</v>
      </c>
      <c r="C7" s="12">
        <f>IF(MAX(GameRecord[GW]) &lt;= 19, NewTransfers[[#This Row],[xPoints Av.]] *1.2, NewTransfers[[#This Row],[xPoints Av.]])</f>
        <v>2.4</v>
      </c>
      <c r="D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7" s="12">
        <f>(NewTransfers[[#This Row],[60+Mins This Season]]/NewTransfers[[#This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NewTransfers[[#This Row],[xPoints Scaled]]*NewTransfers[[#This Row],[Regularity]]</f>
        <v>2.4</v>
      </c>
      <c r="M7" s="11" t="s">
        <v>19</v>
      </c>
    </row>
    <row r="8" spans="1:13" ht="24" x14ac:dyDescent="0.45">
      <c r="A8" s="11" t="s">
        <v>507</v>
      </c>
      <c r="B8" s="11" t="s">
        <v>64</v>
      </c>
      <c r="C8" s="12">
        <f>IF(MAX(GameRecord[GW]) &lt;= 19, NewTransfers[[#This Row],[xPoints Av.]] *1.1, NewTransfers[[#This Row],[xPoints Av.]])</f>
        <v>2.2000000000000002</v>
      </c>
      <c r="D8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8" s="12">
        <f>(NewTransfers[[#This Row],[60+Mins This Season]]/NewTransfers[[#This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NewTransfers[[#This Row],[xPoints Scaled]]*NewTransfers[[#This Row],[Regularity]]</f>
        <v>2.2000000000000002</v>
      </c>
      <c r="M8" s="11" t="s">
        <v>22</v>
      </c>
    </row>
    <row r="9" spans="1:13" ht="24" x14ac:dyDescent="0.45">
      <c r="A9" s="11" t="s">
        <v>508</v>
      </c>
      <c r="B9" s="11" t="s">
        <v>75</v>
      </c>
      <c r="C9" s="12">
        <f>IF(MAX(GameRecord[GW]) &lt;= 19, NewTransfers[[#This Row],[xPoints Av.]] *1.1, NewTransfers[[#This Row],[xPoints Av.]])</f>
        <v>2.2000000000000002</v>
      </c>
      <c r="D9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9" s="12">
        <f>(NewTransfers[[#This Row],[60+Mins This Season]]/NewTransfers[[#This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5.5</v>
      </c>
      <c r="L9" s="12">
        <f>NewTransfers[[#This Row],[xPoints Scaled]]*NewTransfers[[#This Row],[Regularity]]</f>
        <v>2.2000000000000002</v>
      </c>
      <c r="M9" s="11" t="s">
        <v>22</v>
      </c>
    </row>
    <row r="10" spans="1:13" ht="24" x14ac:dyDescent="0.45">
      <c r="A10" s="11" t="s">
        <v>509</v>
      </c>
      <c r="B10" s="11" t="s">
        <v>84</v>
      </c>
      <c r="C10" s="12">
        <f>IF(MAX(GameRecord[GW]) &lt;= 19, NewTransfers[[#This Row],[xPoints Av.]] *2, NewTransfers[[#This Row],[xPoints Av.]])</f>
        <v>4</v>
      </c>
      <c r="D10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0" s="12">
        <f>(NewTransfers[[#This Row],[60+Mins This Season]]/NewTransfers[[#This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9</v>
      </c>
      <c r="L10" s="12">
        <f>NewTransfers[[#This Row],[xPoints Scaled]]*NewTransfers[[#This Row],[Regularity]]</f>
        <v>4</v>
      </c>
      <c r="M10" s="11" t="s">
        <v>8</v>
      </c>
    </row>
    <row r="11" spans="1:13" ht="24" x14ac:dyDescent="0.45">
      <c r="A11" s="11" t="s">
        <v>506</v>
      </c>
      <c r="B11" s="11" t="s">
        <v>75</v>
      </c>
      <c r="C11" s="12">
        <f>IF(MAX(GameRecord[GW]) &lt;= 19, NewTransfers[[#This Row],[xPoints Av.]] *1.2, NewTransfers[[#This Row],[xPoints Av.]])</f>
        <v>2.4</v>
      </c>
      <c r="D11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1" s="12">
        <f>(NewTransfers[[#This Row],[60+Mins This Season]]/NewTransfers[[#This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5</v>
      </c>
      <c r="L11" s="12">
        <f>NewTransfers[[#This Row],[xPoints Scaled]]*NewTransfers[[#This Row],[Regularity]]</f>
        <v>2.4</v>
      </c>
      <c r="M11" s="11" t="s">
        <v>8</v>
      </c>
    </row>
    <row r="12" spans="1:13" ht="24" x14ac:dyDescent="0.45">
      <c r="A12" s="11" t="s">
        <v>510</v>
      </c>
      <c r="B12" s="11" t="s">
        <v>75</v>
      </c>
      <c r="C12" s="12">
        <f>IF(MAX(GameRecord[GW]) &lt;= 19, NewTransfers[[#This Row],[xPoints Av.]] *1.1, NewTransfers[[#This Row],[xPoints Av.]])</f>
        <v>2.2000000000000002</v>
      </c>
      <c r="D1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2" s="12">
        <f>(NewTransfers[[#This Row],[60+Mins This Season]]/NewTransfers[[#This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5</v>
      </c>
      <c r="L12" s="12">
        <f>NewTransfers[[#This Row],[xPoints Scaled]]*NewTransfers[[#This Row],[Regularity]]</f>
        <v>2.2000000000000002</v>
      </c>
      <c r="M12" s="11" t="s">
        <v>22</v>
      </c>
    </row>
    <row r="13" spans="1:13" ht="24" x14ac:dyDescent="0.45">
      <c r="A13" s="11" t="s">
        <v>512</v>
      </c>
      <c r="B13" s="11" t="s">
        <v>64</v>
      </c>
      <c r="C13" s="12">
        <f>IF(MAX(GameRecord[GW]) &lt;= 19, NewTransfers[[#This Row],[xPoints Av.]] *1.2, NewTransfers[[#This Row],[xPoints Av.]])</f>
        <v>2.4</v>
      </c>
      <c r="D1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3" s="12">
        <f>(NewTransfers[[#This Row],[60+Mins This Season]]/NewTransfers[[#This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5</v>
      </c>
      <c r="L13" s="12">
        <f>NewTransfers[[#This Row],[xPoints Scaled]]*NewTransfers[[#This Row],[Regularity]]</f>
        <v>2.4</v>
      </c>
      <c r="M13" s="11" t="s">
        <v>13</v>
      </c>
    </row>
    <row r="14" spans="1:13" ht="24" x14ac:dyDescent="0.45">
      <c r="A14" s="11" t="s">
        <v>514</v>
      </c>
      <c r="B14" s="11" t="s">
        <v>62</v>
      </c>
      <c r="C14" s="12">
        <f>IF(MAX(GameRecord[GW]) &lt;= 19, NewTransfers[[#This Row],[xPoints Av.]] *0.8, NewTransfers[[#This Row],[xPoints Av.]])</f>
        <v>1.6</v>
      </c>
      <c r="D1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4" s="12">
        <f>(NewTransfers[[#This Row],[60+Mins This Season]]/NewTransfers[[#This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4.5</v>
      </c>
      <c r="L14" s="12">
        <f>NewTransfers[[#This Row],[xPoints Scaled]]*NewTransfers[[#This Row],[Regularity]]</f>
        <v>1.6</v>
      </c>
      <c r="M14" s="11" t="s">
        <v>20</v>
      </c>
    </row>
    <row r="15" spans="1:13" ht="24" x14ac:dyDescent="0.45">
      <c r="A15" s="11" t="s">
        <v>515</v>
      </c>
      <c r="B15" s="11" t="s">
        <v>84</v>
      </c>
      <c r="C15" s="12">
        <f>IF(MAX(GameRecord[GW]) &lt;= 19, NewTransfers[[#This Row],[xPoints Av.]] *1, NewTransfers[[#This Row],[xPoints Av.]])</f>
        <v>2</v>
      </c>
      <c r="D1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5" s="12">
        <f>(NewTransfers[[#This Row],[60+Mins This Season]]/NewTransfers[[#This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6</v>
      </c>
      <c r="L15" s="12">
        <f>NewTransfers[[#This Row],[xPoints Scaled]]*NewTransfers[[#This Row],[Regularity]]</f>
        <v>2</v>
      </c>
      <c r="M15" s="11" t="s">
        <v>51</v>
      </c>
    </row>
    <row r="16" spans="1:13" ht="24" x14ac:dyDescent="0.45">
      <c r="A16" s="11" t="s">
        <v>516</v>
      </c>
      <c r="B16" s="11" t="s">
        <v>64</v>
      </c>
      <c r="C16" s="12">
        <f>IF(MAX(GameRecord[GW]) &lt;= 19, NewTransfers[[#This Row],[xPoints Av.]] *1, NewTransfers[[#This Row],[xPoints Av.]])</f>
        <v>2</v>
      </c>
      <c r="D1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6" s="12">
        <f>(NewTransfers[[#This Row],[60+Mins This Season]]/NewTransfers[[#This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4.5</v>
      </c>
      <c r="L16" s="12">
        <f>NewTransfers[[#This Row],[xPoints Scaled]]*NewTransfers[[#This Row],[Regularity]]</f>
        <v>2</v>
      </c>
      <c r="M16" s="11" t="s">
        <v>20</v>
      </c>
    </row>
    <row r="17" spans="1:13" ht="24" x14ac:dyDescent="0.45">
      <c r="A17" s="11" t="s">
        <v>517</v>
      </c>
      <c r="B17" s="11" t="s">
        <v>75</v>
      </c>
      <c r="C17" s="12">
        <f>IF(MAX(GameRecord[GW]) &lt;= 19, NewTransfers[[#This Row],[xPoints Av.]] *1.2, NewTransfers[[#This Row],[xPoints Av.]])</f>
        <v>2.4</v>
      </c>
      <c r="D1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7" s="12">
        <f>(NewTransfers[[#This Row],[60+Mins This Season]]/NewTransfers[[#This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6</v>
      </c>
      <c r="L17" s="12">
        <f>NewTransfers[[#This Row],[xPoints Scaled]]*NewTransfers[[#This Row],[Regularity]]</f>
        <v>2.4</v>
      </c>
      <c r="M17" s="11" t="s">
        <v>11</v>
      </c>
    </row>
    <row r="18" spans="1:13" ht="24" x14ac:dyDescent="0.45">
      <c r="A18" s="11" t="s">
        <v>518</v>
      </c>
      <c r="B18" s="11" t="s">
        <v>84</v>
      </c>
      <c r="C18" s="12">
        <f>IF(MAX(GameRecord[GW]) &lt;= 19, NewTransfers[[#This Row],[xPoints Av.]] *1, NewTransfers[[#This Row],[xPoints Av.]])</f>
        <v>2</v>
      </c>
      <c r="D18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8" s="12">
        <f>(NewTransfers[[#This Row],[60+Mins This Season]]/NewTransfers[[#This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5.5</v>
      </c>
      <c r="L18" s="12">
        <f>NewTransfers[[#This Row],[xPoints Scaled]]*NewTransfers[[#This Row],[Regularity]]</f>
        <v>2</v>
      </c>
      <c r="M18" s="11" t="s">
        <v>129</v>
      </c>
    </row>
    <row r="19" spans="1:13" ht="24" x14ac:dyDescent="0.45">
      <c r="A19" s="11" t="s">
        <v>523</v>
      </c>
      <c r="B19" s="11" t="s">
        <v>62</v>
      </c>
      <c r="C19" s="12">
        <f>IF(MAX(GameRecord[GW]) &lt;= 19, NewTransfers[[#This Row],[xPoints Av.]] *1, NewTransfers[[#This Row],[xPoints Av.]])</f>
        <v>2</v>
      </c>
      <c r="D19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9" s="12">
        <f>(NewTransfers[[#This Row],[60+Mins This Season]]/NewTransfers[[#This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5</v>
      </c>
      <c r="L19" s="12">
        <f>NewTransfers[[#This Row],[xPoints Scaled]]*NewTransfers[[#This Row],[Regularity]]</f>
        <v>2</v>
      </c>
      <c r="M19" s="11" t="s">
        <v>16</v>
      </c>
    </row>
    <row r="20" spans="1:13" ht="24" x14ac:dyDescent="0.45">
      <c r="A20" s="11" t="s">
        <v>511</v>
      </c>
      <c r="B20" s="11" t="s">
        <v>64</v>
      </c>
      <c r="C20" s="12">
        <f>IF(MAX(GameRecord[GW]) &lt;= 19, NewTransfers[[#This Row],[xPoints Av.]] *0.6, NewTransfers[[#This Row],[xPoints Av.]])</f>
        <v>1.2</v>
      </c>
      <c r="D20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0" s="12">
        <f>(NewTransfers[[#This Row],[60+Mins This Season]]/NewTransfers[[#This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4</v>
      </c>
      <c r="L20" s="12">
        <f>NewTransfers[[#This Row],[xPoints Scaled]]*NewTransfers[[#This Row],[Regularity]]</f>
        <v>1.2</v>
      </c>
      <c r="M20" s="11" t="s">
        <v>8</v>
      </c>
    </row>
    <row r="21" spans="1:13" ht="24" x14ac:dyDescent="0.45">
      <c r="A21" s="11" t="s">
        <v>526</v>
      </c>
      <c r="B21" s="11" t="s">
        <v>64</v>
      </c>
      <c r="C21" s="12">
        <f>IF(MAX(GameRecord[GW]) &lt;= 19, NewTransfers[[#This Row],[xPoints Av.]] *1, NewTransfers[[#This Row],[xPoints Av.]])</f>
        <v>2</v>
      </c>
      <c r="D21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1" s="12">
        <f>(NewTransfers[[#This Row],[60+Mins This Season]]/NewTransfers[[#This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>
        <v>4.5</v>
      </c>
      <c r="L21" s="12">
        <f>NewTransfers[[#This Row],[xPoints Scaled]]*NewTransfers[[#This Row],[Regularity]]</f>
        <v>2</v>
      </c>
      <c r="M21" s="11" t="s">
        <v>21</v>
      </c>
    </row>
    <row r="22" spans="1:13" ht="24" x14ac:dyDescent="0.45">
      <c r="A22" s="11" t="s">
        <v>527</v>
      </c>
      <c r="B22" s="11" t="s">
        <v>64</v>
      </c>
      <c r="C22" s="12">
        <f>IF(MAX(GameRecord[GW]) &lt;= 19, NewTransfers[[#This Row],[xPoints Av.]] *1.4, NewTransfers[[#This Row],[xPoints Av.]])</f>
        <v>2.8</v>
      </c>
      <c r="D2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2" s="12">
        <f>(NewTransfers[[#This Row],[60+Mins This Season]]/NewTransfers[[#This Row],[Possible 60+Mins This Season]])</f>
        <v>1</v>
      </c>
      <c r="F22" s="11"/>
      <c r="G22" s="11"/>
      <c r="H22" s="11"/>
      <c r="I22" s="11">
        <v>1</v>
      </c>
      <c r="J22" s="11">
        <v>1</v>
      </c>
      <c r="K22" s="11">
        <v>4.5</v>
      </c>
      <c r="L22" s="12">
        <f>NewTransfers[[#This Row],[xPoints Scaled]]*NewTransfers[[#This Row],[Regularity]]</f>
        <v>2.8</v>
      </c>
      <c r="M22" s="11" t="s">
        <v>14</v>
      </c>
    </row>
    <row r="23" spans="1:13" ht="24" x14ac:dyDescent="0.45">
      <c r="A23" s="11"/>
      <c r="B23" s="11"/>
      <c r="C23" s="12"/>
      <c r="D23" s="12"/>
      <c r="E23" s="12"/>
      <c r="F23" s="11"/>
      <c r="G23" s="11"/>
      <c r="H23" s="11"/>
      <c r="I23" s="11"/>
      <c r="J23" s="11"/>
      <c r="K23" s="11"/>
      <c r="L23" s="12"/>
      <c r="M23" s="11"/>
    </row>
  </sheetData>
  <dataValidations count="1">
    <dataValidation type="list" allowBlank="1" showInputMessage="1" showErrorMessage="1" sqref="B3:B23" xr:uid="{E252A198-EC08-4335-98D1-EA98C7F005E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EAB5-DA49-4C3C-9C1B-842E6914EBDE}">
  <dimension ref="A1:M21"/>
  <sheetViews>
    <sheetView workbookViewId="0">
      <selection activeCell="M17" sqref="M17:M20"/>
    </sheetView>
  </sheetViews>
  <sheetFormatPr defaultRowHeight="15" x14ac:dyDescent="0.25"/>
  <cols>
    <col min="1" max="1" width="19.710937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482</v>
      </c>
      <c r="B2" s="11" t="s">
        <v>64</v>
      </c>
      <c r="C2" s="12">
        <f>IF(MAX(GameRecord[GW]) &lt;= 19, FUL_34[[#This Row],[xPoints Av.]] *1, FUL_34[[#This Row],[xPoints Av.]])</f>
        <v>2</v>
      </c>
      <c r="D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" s="12">
        <f>(FUL_34[[#This Row],[60+Mins This Season]]/FUL_34[[#This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4.5</v>
      </c>
      <c r="L2" s="12">
        <f>FUL_34[[#This Row],[xPoints Scaled]]*FUL_34[[#This Row],[Regularity]]</f>
        <v>2</v>
      </c>
      <c r="M2" s="11" t="s">
        <v>23</v>
      </c>
    </row>
    <row r="3" spans="1:13" ht="24" x14ac:dyDescent="0.45">
      <c r="A3" s="11" t="s">
        <v>468</v>
      </c>
      <c r="B3" s="11" t="s">
        <v>64</v>
      </c>
      <c r="C3" s="12">
        <f>IF(MAX(GameRecord[GW]) &lt;= 19, FUL_34[[#This Row],[xPoints Av.]] *1, FUL_34[[#This Row],[xPoints Av.]])</f>
        <v>2</v>
      </c>
      <c r="D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3" s="12">
        <f>(FUL_34[[#This Row],[60+Mins This Season]]/FUL_34[[#This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4.5</v>
      </c>
      <c r="L3" s="12">
        <f>FUL_34[[#This Row],[xPoints Scaled]]*FUL_34[[#This Row],[Regularity]]</f>
        <v>2</v>
      </c>
      <c r="M3" s="11" t="s">
        <v>23</v>
      </c>
    </row>
    <row r="4" spans="1:13" ht="24" x14ac:dyDescent="0.45">
      <c r="A4" s="11" t="s">
        <v>471</v>
      </c>
      <c r="B4" s="11" t="s">
        <v>64</v>
      </c>
      <c r="C4" s="12">
        <f>IF(MAX(GameRecord[GW]) &lt;= 19, FUL_34[[#This Row],[xPoints Av.]] *1, FUL_34[[#This Row],[xPoints Av.]])</f>
        <v>2</v>
      </c>
      <c r="D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4" s="12">
        <f>(FUL_34[[#This Row],[60+Mins This Season]]/FUL_34[[#This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4.5</v>
      </c>
      <c r="L4" s="12">
        <f>FUL_34[[#This Row],[xPoints Scaled]]*FUL_34[[#This Row],[Regularity]]</f>
        <v>2</v>
      </c>
      <c r="M4" s="11" t="s">
        <v>23</v>
      </c>
    </row>
    <row r="5" spans="1:13" ht="24" x14ac:dyDescent="0.45">
      <c r="A5" s="11" t="s">
        <v>479</v>
      </c>
      <c r="B5" s="11" t="s">
        <v>64</v>
      </c>
      <c r="C5" s="12">
        <f>IF(MAX(GameRecord[GW]) &lt;= 19, FUL_34[[#This Row],[xPoints Av.]] *1, FUL_34[[#This Row],[xPoints Av.]])</f>
        <v>2</v>
      </c>
      <c r="D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5" s="12">
        <f>(FUL_34[[#This Row],[60+Mins This Season]]/FUL_34[[#This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4.5</v>
      </c>
      <c r="L5" s="12">
        <f>FUL_34[[#This Row],[xPoints Scaled]]*FUL_34[[#This Row],[Regularity]]</f>
        <v>2</v>
      </c>
      <c r="M5" s="11" t="s">
        <v>23</v>
      </c>
    </row>
    <row r="6" spans="1:13" ht="24" x14ac:dyDescent="0.45">
      <c r="A6" s="11" t="s">
        <v>529</v>
      </c>
      <c r="B6" s="11" t="s">
        <v>64</v>
      </c>
      <c r="C6" s="12">
        <f>IF(MAX(GameRecord[GW]) &lt;= 19, FUL_34[[#This Row],[xPoints Av.]] *1, FUL_34[[#This Row],[xPoints Av.]])</f>
        <v>2</v>
      </c>
      <c r="D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6" s="12">
        <f>(FUL_34[[#This Row],[60+Mins This Season]]/FUL_34[[#This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4</v>
      </c>
      <c r="L6" s="12">
        <f>FUL_34[[#This Row],[xPoints Scaled]]*FUL_34[[#This Row],[Regularity]]</f>
        <v>2</v>
      </c>
      <c r="M6" s="11" t="s">
        <v>23</v>
      </c>
    </row>
    <row r="7" spans="1:13" ht="24" x14ac:dyDescent="0.45">
      <c r="A7" s="11" t="s">
        <v>524</v>
      </c>
      <c r="B7" s="11" t="s">
        <v>64</v>
      </c>
      <c r="C7" s="12">
        <f>IF(MAX(GameRecord[GW]) &lt;= 19, FUL_34[[#This Row],[xPoints Av.]] *1, FUL_34[[#This Row],[xPoints Av.]])</f>
        <v>2</v>
      </c>
      <c r="D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7" s="12">
        <f>(FUL_34[[#This Row],[60+Mins This Season]]/FUL_34[[#This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4.5</v>
      </c>
      <c r="L7" s="12">
        <f>FUL_34[[#This Row],[xPoints Scaled]]*FUL_34[[#This Row],[Regularity]]</f>
        <v>2</v>
      </c>
      <c r="M7" s="11" t="s">
        <v>23</v>
      </c>
    </row>
    <row r="8" spans="1:13" ht="24" x14ac:dyDescent="0.45">
      <c r="A8" s="11" t="s">
        <v>469</v>
      </c>
      <c r="B8" s="11" t="s">
        <v>84</v>
      </c>
      <c r="C8" s="12">
        <f>IF(MAX(GameRecord[GW]) &lt;= 19, FUL_34[[#This Row],[xPoints Av.]] *1.5, FUL_34[[#This Row],[xPoints Av.]])</f>
        <v>3</v>
      </c>
      <c r="D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8" s="12">
        <f>(FUL_34[[#This Row],[60+Mins This Season]]/FUL_34[[#This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6.5</v>
      </c>
      <c r="L8" s="12">
        <f>FUL_34[[#This Row],[xPoints Scaled]]*FUL_34[[#This Row],[Regularity]]</f>
        <v>3</v>
      </c>
      <c r="M8" s="11" t="s">
        <v>23</v>
      </c>
    </row>
    <row r="9" spans="1:13" ht="24" x14ac:dyDescent="0.45">
      <c r="A9" s="11" t="s">
        <v>525</v>
      </c>
      <c r="B9" s="11" t="s">
        <v>84</v>
      </c>
      <c r="C9" s="12">
        <f>IF(MAX(GameRecord[GW]) &lt;= 19, FUL_34[[#This Row],[xPoints Av.]] *1, FUL_34[[#This Row],[xPoints Av.]])</f>
        <v>2</v>
      </c>
      <c r="D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9" s="12">
        <f>(FUL_34[[#This Row],[60+Mins This Season]]/FUL_34[[#This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5.5</v>
      </c>
      <c r="L9" s="12">
        <f>FUL_34[[#This Row],[xPoints Scaled]]*FUL_34[[#This Row],[Regularity]]</f>
        <v>2</v>
      </c>
      <c r="M9" s="11" t="s">
        <v>23</v>
      </c>
    </row>
    <row r="10" spans="1:13" ht="24" x14ac:dyDescent="0.45">
      <c r="A10" s="11" t="s">
        <v>481</v>
      </c>
      <c r="B10" s="11" t="s">
        <v>62</v>
      </c>
      <c r="C10" s="12">
        <f>IF(MAX(GameRecord[GW]) &lt;= 19, FUL_34[[#This Row],[xPoints Av.]] *1, FUL_34[[#This Row],[xPoints Av.]])</f>
        <v>2</v>
      </c>
      <c r="D1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0" s="12">
        <f>(FUL_34[[#This Row],[60+Mins This Season]]/FUL_34[[#This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FUL_34[[#This Row],[xPoints Scaled]]*FUL_34[[#This Row],[Regularity]]</f>
        <v>2</v>
      </c>
      <c r="M10" s="11" t="s">
        <v>23</v>
      </c>
    </row>
    <row r="11" spans="1:13" ht="24" x14ac:dyDescent="0.45">
      <c r="A11" s="11" t="s">
        <v>472</v>
      </c>
      <c r="B11" s="11" t="s">
        <v>62</v>
      </c>
      <c r="C11" s="12">
        <f>IF(MAX(GameRecord[GW]) &lt;= 19, FUL_34[[#This Row],[xPoints Av.]] *1, FUL_34[[#This Row],[xPoints Av.]])</f>
        <v>2</v>
      </c>
      <c r="D1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1" s="12">
        <f>(FUL_34[[#This Row],[60+Mins This Season]]/FUL_34[[#This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4.5</v>
      </c>
      <c r="L11" s="12">
        <f>FUL_34[[#This Row],[xPoints Scaled]]*FUL_34[[#This Row],[Regularity]]</f>
        <v>2</v>
      </c>
      <c r="M11" s="11" t="s">
        <v>23</v>
      </c>
    </row>
    <row r="12" spans="1:13" ht="24" x14ac:dyDescent="0.45">
      <c r="A12" s="11" t="s">
        <v>477</v>
      </c>
      <c r="B12" s="11" t="s">
        <v>75</v>
      </c>
      <c r="C12" s="12">
        <f>IF(MAX(GameRecord[GW]) &lt;= 19, FUL_34[[#This Row],[xPoints Av.]] *1, FUL_34[[#This Row],[xPoints Av.]])</f>
        <v>2</v>
      </c>
      <c r="D1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2" s="12">
        <f>(FUL_34[[#This Row],[60+Mins This Season]]/FUL_34[[#This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5</v>
      </c>
      <c r="L12" s="12">
        <f>FUL_34[[#This Row],[xPoints Scaled]]*FUL_34[[#This Row],[Regularity]]</f>
        <v>2</v>
      </c>
      <c r="M12" s="11" t="s">
        <v>23</v>
      </c>
    </row>
    <row r="13" spans="1:13" ht="24" x14ac:dyDescent="0.45">
      <c r="A13" s="11" t="s">
        <v>484</v>
      </c>
      <c r="B13" s="11" t="s">
        <v>75</v>
      </c>
      <c r="C13" s="12">
        <f>IF(MAX(GameRecord[GW]) &lt;= 19, FUL_34[[#This Row],[xPoints Av.]] *1, FUL_34[[#This Row],[xPoints Av.]])</f>
        <v>2</v>
      </c>
      <c r="D1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3" s="12">
        <f>(FUL_34[[#This Row],[60+Mins This Season]]/FUL_34[[#This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5</v>
      </c>
      <c r="L13" s="12">
        <f>FUL_34[[#This Row],[xPoints Scaled]]*FUL_34[[#This Row],[Regularity]]</f>
        <v>2</v>
      </c>
      <c r="M13" s="11" t="s">
        <v>23</v>
      </c>
    </row>
    <row r="14" spans="1:13" ht="24" x14ac:dyDescent="0.45">
      <c r="A14" s="11" t="s">
        <v>151</v>
      </c>
      <c r="B14" s="11" t="s">
        <v>75</v>
      </c>
      <c r="C14" s="12">
        <f>IF(MAX(GameRecord[GW]) &lt;= 19, FUL_34[[#This Row],[xPoints Av.]] *1, FUL_34[[#This Row],[xPoints Av.]])</f>
        <v>2</v>
      </c>
      <c r="D1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4" s="12">
        <f>(FUL_34[[#This Row],[60+Mins This Season]]/FUL_34[[#This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4.5</v>
      </c>
      <c r="L14" s="12">
        <f>FUL_34[[#This Row],[xPoints Scaled]]*FUL_34[[#This Row],[Regularity]]</f>
        <v>2</v>
      </c>
      <c r="M14" s="11" t="s">
        <v>23</v>
      </c>
    </row>
    <row r="15" spans="1:13" ht="24" x14ac:dyDescent="0.45">
      <c r="A15" s="11" t="s">
        <v>473</v>
      </c>
      <c r="B15" s="11" t="s">
        <v>75</v>
      </c>
      <c r="C15" s="12">
        <f>IF(MAX(GameRecord[GW]) &lt;= 19, FUL_34[[#This Row],[xPoints Av.]] *1, FUL_34[[#This Row],[xPoints Av.]])</f>
        <v>2</v>
      </c>
      <c r="D1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5" s="12">
        <f>(FUL_34[[#This Row],[60+Mins This Season]]/FUL_34[[#This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5.5</v>
      </c>
      <c r="L15" s="12">
        <f>FUL_34[[#This Row],[xPoints Scaled]]*FUL_34[[#This Row],[Regularity]]</f>
        <v>2</v>
      </c>
      <c r="M15" s="11" t="s">
        <v>23</v>
      </c>
    </row>
    <row r="16" spans="1:13" ht="24" x14ac:dyDescent="0.45">
      <c r="A16" s="11" t="s">
        <v>483</v>
      </c>
      <c r="B16" s="11" t="s">
        <v>75</v>
      </c>
      <c r="C16" s="12">
        <f>IF(MAX(GameRecord[GW]) &lt;= 19, FUL_34[[#This Row],[xPoints Av.]] *1, FUL_34[[#This Row],[xPoints Av.]])</f>
        <v>2</v>
      </c>
      <c r="D1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6" s="12">
        <f>(FUL_34[[#This Row],[60+Mins This Season]]/FUL_34[[#This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4.5</v>
      </c>
      <c r="L16" s="12">
        <f>FUL_34[[#This Row],[xPoints Scaled]]*FUL_34[[#This Row],[Regularity]]</f>
        <v>2</v>
      </c>
      <c r="M16" s="11" t="s">
        <v>23</v>
      </c>
    </row>
    <row r="17" spans="1:13" ht="24" x14ac:dyDescent="0.45">
      <c r="A17" s="11" t="s">
        <v>474</v>
      </c>
      <c r="B17" s="11" t="s">
        <v>75</v>
      </c>
      <c r="C17" s="12">
        <f>IF(MAX(GameRecord[GW]) &lt;= 19, FUL_34[[#This Row],[xPoints Av.]] *1, FUL_34[[#This Row],[xPoints Av.]])</f>
        <v>2</v>
      </c>
      <c r="D1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7" s="12">
        <f>(FUL_34[[#This Row],[60+Mins This Season]]/FUL_34[[#This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4.5</v>
      </c>
      <c r="L17" s="12">
        <f>FUL_34[[#This Row],[xPoints Scaled]]*FUL_34[[#This Row],[Regularity]]</f>
        <v>2</v>
      </c>
      <c r="M17" s="11" t="s">
        <v>23</v>
      </c>
    </row>
    <row r="18" spans="1:13" ht="24" x14ac:dyDescent="0.45">
      <c r="A18" s="11" t="s">
        <v>530</v>
      </c>
      <c r="B18" s="11" t="s">
        <v>75</v>
      </c>
      <c r="C18" s="12">
        <f>IF(MAX(GameRecord[GW]) &lt;= 19, FUL_34[[#This Row],[xPoints Av.]] *1, FUL_34[[#This Row],[xPoints Av.]])</f>
        <v>2</v>
      </c>
      <c r="D1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8" s="12">
        <f>(FUL_34[[#This Row],[60+Mins This Season]]/FUL_34[[#This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5</v>
      </c>
      <c r="L18" s="12">
        <f>FUL_34[[#This Row],[xPoints Scaled]]*FUL_34[[#This Row],[Regularity]]</f>
        <v>2</v>
      </c>
      <c r="M18" s="11" t="s">
        <v>23</v>
      </c>
    </row>
    <row r="19" spans="1:13" ht="24" x14ac:dyDescent="0.45">
      <c r="A19" s="1" t="s">
        <v>531</v>
      </c>
      <c r="B19" s="11" t="s">
        <v>75</v>
      </c>
      <c r="C19" s="12">
        <f>IF(MAX(GameRecord[GW]) &lt;= 19, FUL_34[[#This Row],[xPoints Av.]] *1, FUL_34[[#This Row],[xPoints Av.]])</f>
        <v>2</v>
      </c>
      <c r="D1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9" s="12">
        <f>(FUL_34[[#This Row],[60+Mins This Season]]/FUL_34[[#This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5.5</v>
      </c>
      <c r="L19" s="12">
        <f>FUL_34[[#This Row],[xPoints Scaled]]*FUL_34[[#This Row],[Regularity]]</f>
        <v>2</v>
      </c>
      <c r="M19" s="11" t="s">
        <v>23</v>
      </c>
    </row>
    <row r="20" spans="1:13" ht="24" x14ac:dyDescent="0.45">
      <c r="A20" s="11" t="s">
        <v>532</v>
      </c>
      <c r="B20" s="11" t="s">
        <v>75</v>
      </c>
      <c r="C20" s="12">
        <f>IF(MAX(GameRecord[GW]) &lt;= 19, FUL_34[[#This Row],[xPoints Av.]] *1, FUL_34[[#This Row],[xPoints Av.]])</f>
        <v>2</v>
      </c>
      <c r="D2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0" s="12">
        <f>(FUL_34[[#This Row],[60+Mins This Season]]/FUL_34[[#This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5</v>
      </c>
      <c r="L20" s="12">
        <f>FUL_34[[#This Row],[xPoints Scaled]]*FUL_34[[#This Row],[Regularity]]</f>
        <v>2</v>
      </c>
      <c r="M20" s="11" t="s">
        <v>23</v>
      </c>
    </row>
    <row r="21" spans="1:13" ht="24" x14ac:dyDescent="0.45">
      <c r="A21" s="11" t="s">
        <v>354</v>
      </c>
      <c r="B21" s="11" t="s">
        <v>75</v>
      </c>
      <c r="C21" s="12">
        <f>IF(MAX(GameRecord[GW]) &lt;= 19, FUL_34[[#This Row],[xPoints Av.]] *1, FUL_34[[#This Row],[xPoints Av.]])</f>
        <v>2</v>
      </c>
      <c r="D2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1" s="12">
        <f>(FUL_34[[#This Row],[60+Mins This Season]]/FUL_34[[#This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>
        <v>6</v>
      </c>
      <c r="L21" s="12">
        <f>FUL_34[[#This Row],[xPoints Scaled]]*FUL_34[[#This Row],[Regularity]]</f>
        <v>2</v>
      </c>
      <c r="M21" s="11" t="s">
        <v>23</v>
      </c>
    </row>
  </sheetData>
  <dataValidations count="1">
    <dataValidation type="list" allowBlank="1" showInputMessage="1" showErrorMessage="1" sqref="B2:B21" xr:uid="{8676B22D-5318-4D52-AE45-8B07A1F03BFB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FE45-4115-483B-B956-E7CDCDE5A73B}">
  <dimension ref="A1:M18"/>
  <sheetViews>
    <sheetView workbookViewId="0">
      <selection activeCell="K18" sqref="K18"/>
    </sheetView>
  </sheetViews>
  <sheetFormatPr defaultRowHeight="15" x14ac:dyDescent="0.25"/>
  <cols>
    <col min="1" max="1" width="20.5703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486</v>
      </c>
      <c r="B2" s="11" t="s">
        <v>64</v>
      </c>
      <c r="C2" s="12">
        <f>IF(MAX(GameRecord[GW]) &lt;= 19, FOR_36[[#This Row],[xPoints Av.]] *1, FOR_36[[#This Row],[xPoints Av.]])</f>
        <v>2</v>
      </c>
      <c r="D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" s="12">
        <f>(FOR_36[[#This Row],[60+Mins This Season]]/FOR_36[[#This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4.5</v>
      </c>
      <c r="L2" s="12">
        <f>FOR_36[[#This Row],[xPoints Scaled]]*FOR_36[[#This Row],[Regularity]]</f>
        <v>2</v>
      </c>
      <c r="M2" s="11" t="s">
        <v>51</v>
      </c>
    </row>
    <row r="3" spans="1:13" ht="24" x14ac:dyDescent="0.45">
      <c r="A3" s="11" t="s">
        <v>489</v>
      </c>
      <c r="B3" s="11" t="s">
        <v>64</v>
      </c>
      <c r="C3" s="12">
        <f>IF(MAX(GameRecord[GW]) &lt;= 19, FOR_36[[#This Row],[xPoints Av.]] *1, FOR_36[[#This Row],[xPoints Av.]])</f>
        <v>2</v>
      </c>
      <c r="D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3" s="12">
        <f>(FOR_36[[#This Row],[60+Mins This Season]]/FOR_36[[#This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4.5</v>
      </c>
      <c r="L3" s="12">
        <f>FOR_36[[#This Row],[xPoints Scaled]]*FOR_36[[#This Row],[Regularity]]</f>
        <v>2</v>
      </c>
      <c r="M3" s="11" t="s">
        <v>51</v>
      </c>
    </row>
    <row r="4" spans="1:13" ht="24" x14ac:dyDescent="0.45">
      <c r="A4" s="11" t="s">
        <v>533</v>
      </c>
      <c r="B4" s="11" t="s">
        <v>64</v>
      </c>
      <c r="C4" s="12">
        <f>IF(MAX(GameRecord[GW]) &lt;= 19, FOR_36[[#This Row],[xPoints Av.]] *1, FOR_36[[#This Row],[xPoints Av.]])</f>
        <v>2</v>
      </c>
      <c r="D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4" s="12">
        <f>(FOR_36[[#This Row],[60+Mins This Season]]/FOR_36[[#This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4.5</v>
      </c>
      <c r="L4" s="12">
        <f>FOR_36[[#This Row],[xPoints Scaled]]*FOR_36[[#This Row],[Regularity]]</f>
        <v>2</v>
      </c>
      <c r="M4" s="11" t="s">
        <v>51</v>
      </c>
    </row>
    <row r="5" spans="1:13" ht="24" x14ac:dyDescent="0.45">
      <c r="A5" s="11" t="s">
        <v>535</v>
      </c>
      <c r="B5" s="11" t="s">
        <v>64</v>
      </c>
      <c r="C5" s="12">
        <f>IF(MAX(GameRecord[GW]) &lt;= 19, FOR_36[[#This Row],[xPoints Av.]] *1, FOR_36[[#This Row],[xPoints Av.]])</f>
        <v>2</v>
      </c>
      <c r="D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5" s="12">
        <f>(FOR_36[[#This Row],[60+Mins This Season]]/FOR_36[[#This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4.5</v>
      </c>
      <c r="L5" s="12">
        <f>FOR_36[[#This Row],[xPoints Scaled]]*FOR_36[[#This Row],[Regularity]]</f>
        <v>2</v>
      </c>
      <c r="M5" s="11" t="s">
        <v>51</v>
      </c>
    </row>
    <row r="6" spans="1:13" ht="24" x14ac:dyDescent="0.45">
      <c r="A6" s="11" t="s">
        <v>534</v>
      </c>
      <c r="B6" s="11" t="s">
        <v>64</v>
      </c>
      <c r="C6" s="12">
        <f>IF(MAX(GameRecord[GW]) &lt;= 19, FOR_36[[#This Row],[xPoints Av.]] *1, FOR_36[[#This Row],[xPoints Av.]])</f>
        <v>2</v>
      </c>
      <c r="D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6" s="12">
        <f>(FOR_36[[#This Row],[60+Mins This Season]]/FOR_36[[#This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4.5</v>
      </c>
      <c r="L6" s="12">
        <f>FOR_36[[#This Row],[xPoints Scaled]]*FOR_36[[#This Row],[Regularity]]</f>
        <v>2</v>
      </c>
      <c r="M6" s="11" t="s">
        <v>51</v>
      </c>
    </row>
    <row r="7" spans="1:13" ht="24" x14ac:dyDescent="0.45">
      <c r="A7" s="11" t="s">
        <v>457</v>
      </c>
      <c r="B7" s="11" t="s">
        <v>64</v>
      </c>
      <c r="C7" s="12">
        <f>IF(MAX(GameRecord[GW]) &lt;= 19, FOR_36[[#This Row],[xPoints Av.]] *1, FOR_36[[#This Row],[xPoints Av.]])</f>
        <v>2</v>
      </c>
      <c r="D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7" s="12">
        <f>(FOR_36[[#This Row],[60+Mins This Season]]/FOR_36[[#This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4.5</v>
      </c>
      <c r="L7" s="12">
        <f>FOR_36[[#This Row],[xPoints Scaled]]*FOR_36[[#This Row],[Regularity]]</f>
        <v>2</v>
      </c>
      <c r="M7" s="11" t="s">
        <v>51</v>
      </c>
    </row>
    <row r="8" spans="1:13" ht="24" x14ac:dyDescent="0.45">
      <c r="A8" s="11" t="s">
        <v>403</v>
      </c>
      <c r="B8" s="11" t="s">
        <v>84</v>
      </c>
      <c r="C8" s="12">
        <f>IF(MAX(GameRecord[GW]) &lt;= 19, FOR_36[[#This Row],[xPoints Av.]] *1, FOR_36[[#This Row],[xPoints Av.]])</f>
        <v>2</v>
      </c>
      <c r="D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8" s="12">
        <f>(FOR_36[[#This Row],[60+Mins This Season]]/FOR_36[[#This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6</v>
      </c>
      <c r="L8" s="12">
        <f>FOR_36[[#This Row],[xPoints Scaled]]*FOR_36[[#This Row],[Regularity]]</f>
        <v>2</v>
      </c>
      <c r="M8" s="11" t="s">
        <v>51</v>
      </c>
    </row>
    <row r="9" spans="1:13" ht="24" x14ac:dyDescent="0.45">
      <c r="A9" s="11" t="s">
        <v>497</v>
      </c>
      <c r="B9" s="11" t="s">
        <v>84</v>
      </c>
      <c r="C9" s="12">
        <f>IF(MAX(GameRecord[GW]) &lt;= 19, FOR_36[[#This Row],[xPoints Av.]] *1, FOR_36[[#This Row],[xPoints Av.]])</f>
        <v>2</v>
      </c>
      <c r="D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9" s="12">
        <f>(FOR_36[[#This Row],[60+Mins This Season]]/FOR_36[[#This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4.5</v>
      </c>
      <c r="L9" s="12">
        <f>FOR_36[[#This Row],[xPoints Scaled]]*FOR_36[[#This Row],[Regularity]]</f>
        <v>2</v>
      </c>
      <c r="M9" s="11" t="s">
        <v>51</v>
      </c>
    </row>
    <row r="10" spans="1:13" ht="24" x14ac:dyDescent="0.45">
      <c r="A10" s="11" t="s">
        <v>499</v>
      </c>
      <c r="B10" s="11" t="s">
        <v>84</v>
      </c>
      <c r="C10" s="12">
        <f>IF(MAX(GameRecord[GW]) &lt;= 19, FOR_36[[#This Row],[xPoints Av.]] *1, FOR_36[[#This Row],[xPoints Av.]])</f>
        <v>2</v>
      </c>
      <c r="D1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0" s="12">
        <f>(FOR_36[[#This Row],[60+Mins This Season]]/FOR_36[[#This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5</v>
      </c>
      <c r="L10" s="12">
        <f>FOR_36[[#This Row],[xPoints Scaled]]*FOR_36[[#This Row],[Regularity]]</f>
        <v>2</v>
      </c>
      <c r="M10" s="11" t="s">
        <v>51</v>
      </c>
    </row>
    <row r="11" spans="1:13" ht="24" x14ac:dyDescent="0.45">
      <c r="A11" s="11" t="s">
        <v>488</v>
      </c>
      <c r="B11" s="11" t="s">
        <v>62</v>
      </c>
      <c r="C11" s="12">
        <f>IF(MAX(GameRecord[GW]) &lt;= 19, FOR_36[[#This Row],[xPoints Av.]] *1, FOR_36[[#This Row],[xPoints Av.]])</f>
        <v>2</v>
      </c>
      <c r="D11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1" s="12">
        <f>(FOR_36[[#This Row],[60+Mins This Season]]/FOR_36[[#This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4.5</v>
      </c>
      <c r="L11" s="12">
        <f>FOR_36[[#This Row],[xPoints Scaled]]*FOR_36[[#This Row],[Regularity]]</f>
        <v>2</v>
      </c>
      <c r="M11" s="11" t="s">
        <v>51</v>
      </c>
    </row>
    <row r="12" spans="1:13" ht="24" x14ac:dyDescent="0.45">
      <c r="A12" s="11" t="s">
        <v>279</v>
      </c>
      <c r="B12" s="11" t="s">
        <v>62</v>
      </c>
      <c r="C12" s="12">
        <f>IF(MAX(GameRecord[GW]) &lt;= 19, FOR_36[[#This Row],[xPoints Av.]] *1, FOR_36[[#This Row],[xPoints Av.]])</f>
        <v>2</v>
      </c>
      <c r="D1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2" s="12">
        <f>(FOR_36[[#This Row],[60+Mins This Season]]/FOR_36[[#This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4.5</v>
      </c>
      <c r="L12" s="12">
        <f>FOR_36[[#This Row],[xPoints Scaled]]*FOR_36[[#This Row],[Regularity]]</f>
        <v>2</v>
      </c>
      <c r="M12" s="11" t="s">
        <v>51</v>
      </c>
    </row>
    <row r="13" spans="1:13" ht="24" x14ac:dyDescent="0.45">
      <c r="A13" s="11" t="s">
        <v>487</v>
      </c>
      <c r="B13" s="11" t="s">
        <v>75</v>
      </c>
      <c r="C13" s="12">
        <f>IF(MAX(GameRecord[GW]) &lt;= 19, FOR_36[[#This Row],[xPoints Av.]] *1, FOR_36[[#This Row],[xPoints Av.]])</f>
        <v>2</v>
      </c>
      <c r="D1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3" s="12">
        <f>(FOR_36[[#This Row],[60+Mins This Season]]/FOR_36[[#This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5</v>
      </c>
      <c r="L13" s="12">
        <f>FOR_36[[#This Row],[xPoints Scaled]]*FOR_36[[#This Row],[Regularity]]</f>
        <v>2</v>
      </c>
      <c r="M13" s="11" t="s">
        <v>51</v>
      </c>
    </row>
    <row r="14" spans="1:13" ht="24" x14ac:dyDescent="0.45">
      <c r="A14" s="11" t="s">
        <v>536</v>
      </c>
      <c r="B14" s="11" t="s">
        <v>75</v>
      </c>
      <c r="C14" s="12">
        <f>IF(MAX(GameRecord[GW]) &lt;= 19, FOR_36[[#This Row],[xPoints Av.]] *1, FOR_36[[#This Row],[xPoints Av.]])</f>
        <v>2</v>
      </c>
      <c r="D1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4" s="12">
        <f>(FOR_36[[#This Row],[60+Mins This Season]]/FOR_36[[#This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5</v>
      </c>
      <c r="L14" s="12">
        <f>FOR_36[[#This Row],[xPoints Scaled]]*FOR_36[[#This Row],[Regularity]]</f>
        <v>2</v>
      </c>
      <c r="M14" s="11" t="s">
        <v>51</v>
      </c>
    </row>
    <row r="15" spans="1:13" ht="24" x14ac:dyDescent="0.45">
      <c r="A15" s="11" t="s">
        <v>492</v>
      </c>
      <c r="B15" s="11" t="s">
        <v>75</v>
      </c>
      <c r="C15" s="12">
        <f>IF(MAX(GameRecord[GW]) &lt;= 19, FOR_36[[#This Row],[xPoints Av.]] *1, FOR_36[[#This Row],[xPoints Av.]])</f>
        <v>2</v>
      </c>
      <c r="D1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5" s="12">
        <f>(FOR_36[[#This Row],[60+Mins This Season]]/FOR_36[[#This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4.5</v>
      </c>
      <c r="L15" s="12">
        <f>FOR_36[[#This Row],[xPoints Scaled]]*FOR_36[[#This Row],[Regularity]]</f>
        <v>2</v>
      </c>
      <c r="M15" s="11" t="s">
        <v>51</v>
      </c>
    </row>
    <row r="16" spans="1:13" ht="24" x14ac:dyDescent="0.45">
      <c r="A16" s="11" t="s">
        <v>537</v>
      </c>
      <c r="B16" s="11" t="s">
        <v>75</v>
      </c>
      <c r="C16" s="12">
        <f>IF(MAX(GameRecord[GW]) &lt;= 19, FOR_36[[#This Row],[xPoints Av.]] *1, FOR_36[[#This Row],[xPoints Av.]])</f>
        <v>2</v>
      </c>
      <c r="D1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6" s="12">
        <f>(FOR_36[[#This Row],[60+Mins This Season]]/FOR_36[[#This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4.5</v>
      </c>
      <c r="L16" s="12">
        <f>FOR_36[[#This Row],[xPoints Scaled]]*FOR_36[[#This Row],[Regularity]]</f>
        <v>2</v>
      </c>
      <c r="M16" s="11" t="s">
        <v>51</v>
      </c>
    </row>
    <row r="17" spans="1:13" ht="24" x14ac:dyDescent="0.45">
      <c r="A17" s="11" t="s">
        <v>496</v>
      </c>
      <c r="B17" s="11" t="s">
        <v>75</v>
      </c>
      <c r="C17" s="12">
        <f>IF(MAX(GameRecord[GW]) &lt;= 19, FOR_36[[#This Row],[xPoints Av.]] *1, FOR_36[[#This Row],[xPoints Av.]])</f>
        <v>2</v>
      </c>
      <c r="D1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7" s="12">
        <f>(FOR_36[[#This Row],[60+Mins This Season]]/FOR_36[[#This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5</v>
      </c>
      <c r="L17" s="12">
        <f>FOR_36[[#This Row],[xPoints Scaled]]*FOR_36[[#This Row],[Regularity]]</f>
        <v>2</v>
      </c>
      <c r="M17" s="11" t="s">
        <v>51</v>
      </c>
    </row>
    <row r="18" spans="1:13" ht="24" x14ac:dyDescent="0.45">
      <c r="A18" s="11" t="s">
        <v>498</v>
      </c>
      <c r="B18" s="11" t="s">
        <v>75</v>
      </c>
      <c r="C18" s="12">
        <f>IF(MAX(GameRecord[GW]) &lt;= 19, FOR_36[[#This Row],[xPoints Av.]] *1, FOR_36[[#This Row],[xPoints Av.]])</f>
        <v>2</v>
      </c>
      <c r="D1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8" s="12">
        <f>(FOR_36[[#This Row],[60+Mins This Season]]/FOR_36[[#This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5</v>
      </c>
      <c r="L18" s="12">
        <f>FOR_36[[#This Row],[xPoints Scaled]]*FOR_36[[#This Row],[Regularity]]</f>
        <v>2</v>
      </c>
      <c r="M18" s="11" t="s">
        <v>51</v>
      </c>
    </row>
  </sheetData>
  <dataValidations count="1">
    <dataValidation type="list" allowBlank="1" showInputMessage="1" showErrorMessage="1" sqref="B2:B18" xr:uid="{59B31A3A-24AC-494E-977D-607844C087D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8AD-A881-4EAA-AAA5-DCE33AED95DC}">
  <dimension ref="A1:Q17"/>
  <sheetViews>
    <sheetView workbookViewId="0">
      <selection activeCell="L13" sqref="L13"/>
    </sheetView>
  </sheetViews>
  <sheetFormatPr defaultRowHeight="15" x14ac:dyDescent="0.25"/>
  <cols>
    <col min="1" max="1" width="17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232</v>
      </c>
      <c r="B2" s="11" t="s">
        <v>64</v>
      </c>
      <c r="C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3.0822822491730983</v>
      </c>
      <c r="D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0.90909090909090917</v>
      </c>
      <c r="E2" s="12">
        <v>0.01</v>
      </c>
      <c r="F2" s="12">
        <v>0.01</v>
      </c>
      <c r="G2" s="12">
        <v>0.24807056229327454</v>
      </c>
      <c r="H2" s="11">
        <v>20</v>
      </c>
      <c r="I2" s="11">
        <v>22</v>
      </c>
      <c r="J2" s="11"/>
      <c r="K2" s="11"/>
      <c r="L2" s="11"/>
      <c r="M2" s="11"/>
      <c r="N2" s="11">
        <v>1</v>
      </c>
      <c r="O2" s="11">
        <v>4.5</v>
      </c>
      <c r="P2" s="12">
        <f>LEE_35[[#This Row],[xPoints Av.]]*LEE_35[[#This Row],[Regularity]]</f>
        <v>2.8020747719755441</v>
      </c>
      <c r="Q2" s="11" t="s">
        <v>22</v>
      </c>
    </row>
    <row r="3" spans="1:17" ht="24" x14ac:dyDescent="0.45">
      <c r="A3" s="11" t="s">
        <v>233</v>
      </c>
      <c r="B3" s="11" t="s">
        <v>64</v>
      </c>
      <c r="C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2.8269014084507043</v>
      </c>
      <c r="D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0.92592592592592593</v>
      </c>
      <c r="E3" s="12">
        <v>0.04</v>
      </c>
      <c r="F3" s="12">
        <v>0.09</v>
      </c>
      <c r="G3" s="12">
        <v>7.9225352112676062E-2</v>
      </c>
      <c r="H3" s="11">
        <v>25</v>
      </c>
      <c r="I3" s="11">
        <v>27</v>
      </c>
      <c r="J3" s="11"/>
      <c r="K3" s="11"/>
      <c r="L3" s="11"/>
      <c r="M3" s="11"/>
      <c r="N3" s="11">
        <v>1</v>
      </c>
      <c r="O3" s="11">
        <v>4.5</v>
      </c>
      <c r="P3" s="12">
        <f>LEE_35[[#This Row],[xPoints Av.]]*LEE_35[[#This Row],[Regularity]]</f>
        <v>2.6175013041210224</v>
      </c>
      <c r="Q3" s="11" t="s">
        <v>22</v>
      </c>
    </row>
    <row r="4" spans="1:17" ht="24" x14ac:dyDescent="0.45">
      <c r="A4" s="11" t="s">
        <v>235</v>
      </c>
      <c r="B4" s="11" t="s">
        <v>64</v>
      </c>
      <c r="C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2.6490076335877863</v>
      </c>
      <c r="D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0.84210526315789469</v>
      </c>
      <c r="E4" s="12">
        <v>0.06</v>
      </c>
      <c r="F4" s="12">
        <v>0.02</v>
      </c>
      <c r="G4" s="12">
        <v>5.725190839694657E-2</v>
      </c>
      <c r="H4" s="11">
        <v>16</v>
      </c>
      <c r="I4" s="11">
        <v>19</v>
      </c>
      <c r="J4" s="11"/>
      <c r="K4" s="11"/>
      <c r="L4" s="11"/>
      <c r="M4" s="11"/>
      <c r="N4" s="11">
        <v>1</v>
      </c>
      <c r="O4" s="11">
        <v>4.5</v>
      </c>
      <c r="P4" s="12">
        <f>LEE_35[[#This Row],[xPoints Av.]]*LEE_35[[#This Row],[Regularity]]</f>
        <v>2.2307432703897145</v>
      </c>
      <c r="Q4" s="11" t="s">
        <v>22</v>
      </c>
    </row>
    <row r="5" spans="1:17" ht="24" x14ac:dyDescent="0.45">
      <c r="A5" s="11" t="s">
        <v>231</v>
      </c>
      <c r="B5" s="11" t="s">
        <v>64</v>
      </c>
      <c r="C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3.2489021785561727</v>
      </c>
      <c r="D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0.65789473684210531</v>
      </c>
      <c r="E5" s="12">
        <v>0.08</v>
      </c>
      <c r="F5" s="12">
        <v>0</v>
      </c>
      <c r="G5" s="12">
        <v>0.19222554463904312</v>
      </c>
      <c r="H5" s="11">
        <v>25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LEE_35[[#This Row],[xPoints Av.]]*LEE_35[[#This Row],[Regularity]]</f>
        <v>2.1374356437869557</v>
      </c>
      <c r="Q5" s="11" t="s">
        <v>22</v>
      </c>
    </row>
    <row r="6" spans="1:17" ht="24" x14ac:dyDescent="0.45">
      <c r="A6" s="11" t="s">
        <v>234</v>
      </c>
      <c r="B6" s="11" t="s">
        <v>64</v>
      </c>
      <c r="C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2.8356097560975613</v>
      </c>
      <c r="D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0.65625</v>
      </c>
      <c r="E6" s="12">
        <v>0.1</v>
      </c>
      <c r="F6" s="12">
        <v>0.02</v>
      </c>
      <c r="G6" s="12">
        <v>4.3902439024390241E-2</v>
      </c>
      <c r="H6" s="11">
        <v>21</v>
      </c>
      <c r="I6" s="11">
        <v>32</v>
      </c>
      <c r="J6" s="11"/>
      <c r="K6" s="11"/>
      <c r="L6" s="11"/>
      <c r="M6" s="11"/>
      <c r="N6" s="11">
        <v>1</v>
      </c>
      <c r="O6" s="11">
        <v>4.5</v>
      </c>
      <c r="P6" s="12">
        <f>LEE_35[[#This Row],[xPoints Av.]]*LEE_35[[#This Row],[Regularity]]</f>
        <v>1.8608689024390246</v>
      </c>
      <c r="Q6" s="11" t="s">
        <v>22</v>
      </c>
    </row>
    <row r="7" spans="1:17" ht="24" x14ac:dyDescent="0.45">
      <c r="A7" s="11" t="s">
        <v>236</v>
      </c>
      <c r="B7" s="11" t="s">
        <v>64</v>
      </c>
      <c r="C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2.9006495026331187</v>
      </c>
      <c r="D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0.53333333333333333</v>
      </c>
      <c r="E7" s="12">
        <v>0.05</v>
      </c>
      <c r="F7" s="12">
        <v>0.13</v>
      </c>
      <c r="G7" s="12">
        <v>5.2662375658279699E-2</v>
      </c>
      <c r="H7" s="11">
        <v>16</v>
      </c>
      <c r="I7" s="11">
        <v>30</v>
      </c>
      <c r="J7" s="11"/>
      <c r="K7" s="11"/>
      <c r="L7" s="11"/>
      <c r="M7" s="11"/>
      <c r="N7" s="11">
        <v>1</v>
      </c>
      <c r="O7" s="11">
        <v>4.5</v>
      </c>
      <c r="P7" s="12">
        <f>LEE_35[[#This Row],[xPoints Av.]]*LEE_35[[#This Row],[Regularity]]</f>
        <v>1.5470130680709966</v>
      </c>
      <c r="Q7" s="11" t="s">
        <v>22</v>
      </c>
    </row>
    <row r="8" spans="1:17" ht="24" x14ac:dyDescent="0.45">
      <c r="A8" s="11" t="s">
        <v>245</v>
      </c>
      <c r="B8" s="11" t="s">
        <v>84</v>
      </c>
      <c r="C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4.43</v>
      </c>
      <c r="D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8" s="12">
        <v>0.48</v>
      </c>
      <c r="F8" s="12">
        <v>0.17</v>
      </c>
      <c r="G8" s="12">
        <v>0</v>
      </c>
      <c r="H8" s="18">
        <v>5</v>
      </c>
      <c r="I8" s="18">
        <v>5</v>
      </c>
      <c r="J8" s="11"/>
      <c r="K8" s="11"/>
      <c r="L8" s="11"/>
      <c r="M8" s="11"/>
      <c r="N8" s="11">
        <v>1</v>
      </c>
      <c r="O8" s="11">
        <v>7.5</v>
      </c>
      <c r="P8" s="12">
        <f>LEE_35[[#This Row],[xPoints Av.]]*LEE_35[[#This Row],[Regularity]]</f>
        <v>4.43</v>
      </c>
      <c r="Q8" s="11" t="s">
        <v>22</v>
      </c>
    </row>
    <row r="9" spans="1:17" ht="24" x14ac:dyDescent="0.45">
      <c r="A9" s="11" t="s">
        <v>243</v>
      </c>
      <c r="B9" s="11" t="s">
        <v>75</v>
      </c>
      <c r="C9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3.7188510826336723</v>
      </c>
      <c r="D9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0.66666666666666663</v>
      </c>
      <c r="E9" s="12">
        <v>0.22</v>
      </c>
      <c r="F9" s="12">
        <v>0.14000000000000001</v>
      </c>
      <c r="G9" s="12">
        <v>0.1988510826336721</v>
      </c>
      <c r="H9" s="11">
        <v>22</v>
      </c>
      <c r="I9" s="11">
        <v>33</v>
      </c>
      <c r="J9" s="11"/>
      <c r="K9" s="11"/>
      <c r="L9" s="11"/>
      <c r="M9" s="11"/>
      <c r="N9" s="11">
        <v>1</v>
      </c>
      <c r="O9" s="11">
        <v>6</v>
      </c>
      <c r="P9" s="12">
        <f>LEE_35[[#This Row],[xPoints Av.]]*LEE_35[[#This Row],[Regularity]]</f>
        <v>2.4792340550891145</v>
      </c>
      <c r="Q9" s="11" t="s">
        <v>22</v>
      </c>
    </row>
    <row r="10" spans="1:17" ht="24" x14ac:dyDescent="0.45">
      <c r="A10" s="11" t="s">
        <v>244</v>
      </c>
      <c r="B10" s="11" t="s">
        <v>84</v>
      </c>
      <c r="C10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4.6500000000000004</v>
      </c>
      <c r="D10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0.15789473684210525</v>
      </c>
      <c r="E10" s="12">
        <v>0.49</v>
      </c>
      <c r="F10" s="12">
        <v>0.23</v>
      </c>
      <c r="G10" s="12">
        <v>0.1988510826336721</v>
      </c>
      <c r="H10" s="11">
        <v>6</v>
      </c>
      <c r="I10" s="11">
        <v>38</v>
      </c>
      <c r="J10" s="11"/>
      <c r="K10" s="11"/>
      <c r="L10" s="11"/>
      <c r="M10" s="11"/>
      <c r="N10" s="11">
        <v>1</v>
      </c>
      <c r="O10" s="11">
        <v>5.5</v>
      </c>
      <c r="P10" s="12">
        <f>LEE_35[[#This Row],[xPoints Av.]]*LEE_35[[#This Row],[Regularity]]</f>
        <v>0.73421052631578954</v>
      </c>
      <c r="Q10" s="11" t="s">
        <v>22</v>
      </c>
    </row>
    <row r="11" spans="1:17" ht="24" x14ac:dyDescent="0.45">
      <c r="A11" s="11" t="s">
        <v>227</v>
      </c>
      <c r="B11" s="11" t="s">
        <v>62</v>
      </c>
      <c r="C11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2.5319148936170213</v>
      </c>
      <c r="D11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11" s="12">
        <v>0</v>
      </c>
      <c r="F11" s="12">
        <v>0</v>
      </c>
      <c r="G11" s="12">
        <v>0.13297872340425532</v>
      </c>
      <c r="H11" s="11">
        <v>37</v>
      </c>
      <c r="I11" s="11">
        <v>37</v>
      </c>
      <c r="J11" s="11"/>
      <c r="K11" s="11"/>
      <c r="L11" s="11"/>
      <c r="M11" s="11"/>
      <c r="N11" s="11">
        <v>1</v>
      </c>
      <c r="O11" s="11">
        <v>4.5</v>
      </c>
      <c r="P11" s="12">
        <f>LEE_35[[#This Row],[xPoints Av.]]*LEE_35[[#This Row],[Regularity]]</f>
        <v>2.5319148936170213</v>
      </c>
      <c r="Q11" s="11" t="s">
        <v>22</v>
      </c>
    </row>
    <row r="12" spans="1:17" ht="24" x14ac:dyDescent="0.45">
      <c r="A12" s="11" t="s">
        <v>237</v>
      </c>
      <c r="B12" s="11" t="s">
        <v>75</v>
      </c>
      <c r="C1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4.3343209876543209</v>
      </c>
      <c r="D1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0.83783783783783783</v>
      </c>
      <c r="E12" s="12">
        <v>0.31</v>
      </c>
      <c r="F12" s="12">
        <v>0.21</v>
      </c>
      <c r="G12" s="12">
        <v>0.15432098765432101</v>
      </c>
      <c r="H12" s="11">
        <v>31</v>
      </c>
      <c r="I12" s="11">
        <v>37</v>
      </c>
      <c r="J12" s="11"/>
      <c r="K12" s="11"/>
      <c r="L12" s="11"/>
      <c r="M12" s="11"/>
      <c r="N12" s="11">
        <v>1</v>
      </c>
      <c r="O12" s="11">
        <v>7</v>
      </c>
      <c r="P12" s="12">
        <f>LEE_35[[#This Row],[xPoints Av.]]*LEE_35[[#This Row],[Regularity]]</f>
        <v>3.6314581247914579</v>
      </c>
      <c r="Q12" s="11" t="s">
        <v>22</v>
      </c>
    </row>
    <row r="13" spans="1:17" ht="24" x14ac:dyDescent="0.45">
      <c r="A13" s="11" t="s">
        <v>239</v>
      </c>
      <c r="B13" s="11" t="s">
        <v>64</v>
      </c>
      <c r="C1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3.2764383561643835</v>
      </c>
      <c r="D1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0.94117647058823528</v>
      </c>
      <c r="E13" s="12">
        <v>0.06</v>
      </c>
      <c r="F13" s="12">
        <v>0.1</v>
      </c>
      <c r="G13" s="12">
        <v>0.1541095890410959</v>
      </c>
      <c r="H13" s="11">
        <v>32</v>
      </c>
      <c r="I13" s="11">
        <v>34</v>
      </c>
      <c r="J13" s="11"/>
      <c r="K13" s="11"/>
      <c r="L13" s="11"/>
      <c r="M13" s="11"/>
      <c r="N13" s="11">
        <v>1</v>
      </c>
      <c r="O13" s="11">
        <v>5</v>
      </c>
      <c r="P13" s="12">
        <f>LEE_35[[#This Row],[xPoints Av.]]*LEE_35[[#This Row],[Regularity]]</f>
        <v>3.0837066881547139</v>
      </c>
      <c r="Q13" s="11" t="s">
        <v>22</v>
      </c>
    </row>
    <row r="14" spans="1:17" ht="24" x14ac:dyDescent="0.45">
      <c r="A14" s="11" t="s">
        <v>148</v>
      </c>
      <c r="B14" s="11" t="s">
        <v>75</v>
      </c>
      <c r="C1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4.0007955002008835</v>
      </c>
      <c r="D1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0.62857142857142856</v>
      </c>
      <c r="E14" s="12">
        <v>0.28000000000000003</v>
      </c>
      <c r="F14" s="12">
        <v>0.14000000000000001</v>
      </c>
      <c r="G14" s="12">
        <v>0.18079550020088389</v>
      </c>
      <c r="H14" s="11">
        <v>22</v>
      </c>
      <c r="I14" s="11">
        <v>35</v>
      </c>
      <c r="J14" s="11"/>
      <c r="K14" s="11"/>
      <c r="L14" s="11"/>
      <c r="M14" s="11"/>
      <c r="N14" s="11">
        <v>1</v>
      </c>
      <c r="O14" s="11">
        <v>6</v>
      </c>
      <c r="P14" s="12">
        <f>LEE_35[[#This Row],[xPoints Av.]]*LEE_35[[#This Row],[Regularity]]</f>
        <v>2.5147857429834124</v>
      </c>
      <c r="Q14" s="11" t="s">
        <v>22</v>
      </c>
    </row>
    <row r="15" spans="1:17" ht="24" x14ac:dyDescent="0.45">
      <c r="A15" s="11" t="s">
        <v>238</v>
      </c>
      <c r="B15" s="11" t="s">
        <v>75</v>
      </c>
      <c r="C1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3.3123502653525398</v>
      </c>
      <c r="D1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0.71052631578947367</v>
      </c>
      <c r="E15" s="12">
        <v>0.17</v>
      </c>
      <c r="F15" s="12">
        <v>0.12</v>
      </c>
      <c r="G15" s="12">
        <v>0.10235026535253981</v>
      </c>
      <c r="H15" s="11">
        <v>27</v>
      </c>
      <c r="I15" s="11">
        <v>38</v>
      </c>
      <c r="J15" s="11"/>
      <c r="K15" s="11"/>
      <c r="L15" s="11"/>
      <c r="M15" s="11"/>
      <c r="N15" s="11">
        <v>1</v>
      </c>
      <c r="O15" s="11">
        <v>6</v>
      </c>
      <c r="P15" s="12">
        <f>LEE_35[[#This Row],[xPoints Av.]]*LEE_35[[#This Row],[Regularity]]</f>
        <v>2.3535120306452257</v>
      </c>
      <c r="Q15" s="11" t="s">
        <v>22</v>
      </c>
    </row>
    <row r="16" spans="1:17" ht="24" x14ac:dyDescent="0.45">
      <c r="A16" s="11" t="s">
        <v>240</v>
      </c>
      <c r="B16" s="11" t="s">
        <v>75</v>
      </c>
      <c r="C1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2.8334572670207629</v>
      </c>
      <c r="D1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0.45945945945945948</v>
      </c>
      <c r="E16" s="12">
        <v>0.11</v>
      </c>
      <c r="F16" s="12">
        <v>0.08</v>
      </c>
      <c r="G16" s="12">
        <v>4.3457267020762913E-2</v>
      </c>
      <c r="H16" s="11">
        <v>17</v>
      </c>
      <c r="I16" s="11">
        <v>37</v>
      </c>
      <c r="J16" s="11"/>
      <c r="K16" s="11"/>
      <c r="L16" s="11"/>
      <c r="M16" s="11"/>
      <c r="N16" s="11">
        <v>1</v>
      </c>
      <c r="O16" s="11">
        <v>5</v>
      </c>
      <c r="P16" s="12">
        <f>LEE_35[[#This Row],[xPoints Av.]]*LEE_35[[#This Row],[Regularity]]</f>
        <v>1.301858744306837</v>
      </c>
      <c r="Q16" s="11" t="s">
        <v>22</v>
      </c>
    </row>
    <row r="17" spans="1:17" ht="24" x14ac:dyDescent="0.45">
      <c r="A17" s="11" t="s">
        <v>242</v>
      </c>
      <c r="B17" s="11" t="s">
        <v>75</v>
      </c>
      <c r="C1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2.4479554390563565</v>
      </c>
      <c r="D1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</v>
      </c>
      <c r="E17" s="12">
        <v>0.03</v>
      </c>
      <c r="F17" s="12">
        <v>0.06</v>
      </c>
      <c r="G17" s="12">
        <v>0.11795543905635648</v>
      </c>
      <c r="H17" s="11">
        <v>16</v>
      </c>
      <c r="I17" s="11">
        <v>32</v>
      </c>
      <c r="J17" s="11"/>
      <c r="K17" s="11"/>
      <c r="L17" s="11"/>
      <c r="M17" s="11"/>
      <c r="N17" s="11">
        <v>1</v>
      </c>
      <c r="O17" s="11">
        <v>4.5</v>
      </c>
      <c r="P17" s="12">
        <f>LEE_35[[#This Row],[xPoints Av.]]*LEE_35[[#This Row],[Regularity]]</f>
        <v>1.2239777195281782</v>
      </c>
      <c r="Q17" s="11" t="s">
        <v>22</v>
      </c>
    </row>
  </sheetData>
  <dataValidations count="1">
    <dataValidation type="list" allowBlank="1" showInputMessage="1" showErrorMessage="1" sqref="B2:B12 B13:B17" xr:uid="{05D5EF95-087A-4B1E-8B34-E81C41B037C2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97DE-D538-4E5F-91F2-1B97989550C7}">
  <dimension ref="A1:Q18"/>
  <sheetViews>
    <sheetView workbookViewId="0">
      <selection activeCell="N12" sqref="N12"/>
    </sheetView>
  </sheetViews>
  <sheetFormatPr defaultRowHeight="15" x14ac:dyDescent="0.25"/>
  <cols>
    <col min="1" max="1" width="19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253</v>
      </c>
      <c r="B2" s="11" t="s">
        <v>64</v>
      </c>
      <c r="C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3.2549182763744429</v>
      </c>
      <c r="D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0.93333333333333335</v>
      </c>
      <c r="E2" s="12">
        <v>0.09</v>
      </c>
      <c r="F2" s="12">
        <v>0.06</v>
      </c>
      <c r="G2" s="12">
        <v>0.1337295690936107</v>
      </c>
      <c r="H2" s="11">
        <v>14</v>
      </c>
      <c r="I2" s="11">
        <v>15</v>
      </c>
      <c r="J2" s="11"/>
      <c r="K2" s="11"/>
      <c r="L2" s="11"/>
      <c r="M2" s="11"/>
      <c r="N2" s="11">
        <v>1</v>
      </c>
      <c r="O2" s="11">
        <v>4.5</v>
      </c>
      <c r="P2" s="12">
        <f>LEI_37[[#This Row],[xPoints Av.]]*LEI_37[[#This Row],[Regularity]]</f>
        <v>3.0379237246161468</v>
      </c>
      <c r="Q2" s="11" t="s">
        <v>14</v>
      </c>
    </row>
    <row r="3" spans="1:17" ht="24" x14ac:dyDescent="0.45">
      <c r="A3" s="11" t="s">
        <v>250</v>
      </c>
      <c r="B3" s="11" t="s">
        <v>64</v>
      </c>
      <c r="C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2.9608650380456547</v>
      </c>
      <c r="D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0.82352941176470584</v>
      </c>
      <c r="E3" s="12">
        <v>0.04</v>
      </c>
      <c r="F3" s="12">
        <v>0</v>
      </c>
      <c r="G3" s="12">
        <v>0.18021625951141371</v>
      </c>
      <c r="H3" s="11">
        <v>28</v>
      </c>
      <c r="I3" s="11">
        <v>34</v>
      </c>
      <c r="J3" s="11"/>
      <c r="K3" s="11"/>
      <c r="L3" s="11"/>
      <c r="M3" s="11"/>
      <c r="N3" s="11">
        <v>1</v>
      </c>
      <c r="O3" s="11">
        <v>4.5</v>
      </c>
      <c r="P3" s="12">
        <f>LEI_37[[#This Row],[xPoints Av.]]*LEI_37[[#This Row],[Regularity]]</f>
        <v>2.4383594430964215</v>
      </c>
      <c r="Q3" s="11" t="s">
        <v>14</v>
      </c>
    </row>
    <row r="4" spans="1:17" ht="24" x14ac:dyDescent="0.45">
      <c r="A4" s="11" t="s">
        <v>249</v>
      </c>
      <c r="B4" s="11" t="s">
        <v>64</v>
      </c>
      <c r="C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3.4069491525423725</v>
      </c>
      <c r="D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4" s="12">
        <v>0.04</v>
      </c>
      <c r="F4" s="12">
        <v>0.05</v>
      </c>
      <c r="G4" s="12">
        <v>0.25423728813559321</v>
      </c>
      <c r="H4" s="11">
        <v>23</v>
      </c>
      <c r="I4" s="11">
        <v>38</v>
      </c>
      <c r="J4" s="11"/>
      <c r="K4" s="11"/>
      <c r="L4" s="11"/>
      <c r="M4" s="11"/>
      <c r="N4" s="11">
        <v>1</v>
      </c>
      <c r="O4" s="11">
        <v>4.5</v>
      </c>
      <c r="P4" s="12">
        <f>LEI_37[[#This Row],[xPoints Av.]]*LEI_37[[#This Row],[Regularity]]</f>
        <v>2.062100802854594</v>
      </c>
      <c r="Q4" s="11" t="s">
        <v>14</v>
      </c>
    </row>
    <row r="5" spans="1:17" ht="24" x14ac:dyDescent="0.45">
      <c r="A5" s="11" t="s">
        <v>252</v>
      </c>
      <c r="B5" s="11" t="s">
        <v>64</v>
      </c>
      <c r="C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3.2119152276295133</v>
      </c>
      <c r="D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0.52631578947368418</v>
      </c>
      <c r="E5" s="12">
        <v>0.01</v>
      </c>
      <c r="F5" s="12">
        <v>7.0000000000000007E-2</v>
      </c>
      <c r="G5" s="12">
        <v>0.23547880690737832</v>
      </c>
      <c r="H5" s="11">
        <v>20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LEI_37[[#This Row],[xPoints Av.]]*LEI_37[[#This Row],[Regularity]]</f>
        <v>1.6904816987523754</v>
      </c>
      <c r="Q5" s="11" t="s">
        <v>14</v>
      </c>
    </row>
    <row r="6" spans="1:17" ht="24" x14ac:dyDescent="0.45">
      <c r="A6" s="11" t="s">
        <v>251</v>
      </c>
      <c r="B6" s="11" t="s">
        <v>64</v>
      </c>
      <c r="C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2.8798583569405096</v>
      </c>
      <c r="D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0.57894736842105265</v>
      </c>
      <c r="E6" s="12">
        <v>0</v>
      </c>
      <c r="F6" s="12">
        <v>0.01</v>
      </c>
      <c r="G6" s="12">
        <v>0.21246458923512745</v>
      </c>
      <c r="H6" s="11">
        <v>22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LEI_37[[#This Row],[xPoints Av.]]*LEI_37[[#This Row],[Regularity]]</f>
        <v>1.6672864171760846</v>
      </c>
      <c r="Q6" s="11" t="s">
        <v>14</v>
      </c>
    </row>
    <row r="7" spans="1:17" ht="24" x14ac:dyDescent="0.45">
      <c r="A7" s="11" t="s">
        <v>538</v>
      </c>
      <c r="B7" s="11" t="s">
        <v>64</v>
      </c>
      <c r="C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3.0536363636363637</v>
      </c>
      <c r="D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0.28125</v>
      </c>
      <c r="E7" s="12">
        <v>0.05</v>
      </c>
      <c r="F7" s="12">
        <v>0.13</v>
      </c>
      <c r="G7" s="12">
        <v>9.0909090909090912E-2</v>
      </c>
      <c r="H7" s="11">
        <v>9</v>
      </c>
      <c r="I7" s="11">
        <v>32</v>
      </c>
      <c r="J7" s="11"/>
      <c r="K7" s="11"/>
      <c r="L7" s="11"/>
      <c r="M7" s="11"/>
      <c r="N7" s="11">
        <v>1</v>
      </c>
      <c r="O7" s="11">
        <v>4.5</v>
      </c>
      <c r="P7" s="12">
        <f>LEI_37[[#This Row],[xPoints Av.]]*LEI_37[[#This Row],[Regularity]]</f>
        <v>0.85883522727272732</v>
      </c>
      <c r="Q7" s="11" t="s">
        <v>14</v>
      </c>
    </row>
    <row r="8" spans="1:17" ht="24" x14ac:dyDescent="0.45">
      <c r="A8" s="11" t="s">
        <v>263</v>
      </c>
      <c r="B8" s="11" t="s">
        <v>84</v>
      </c>
      <c r="C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4.24</v>
      </c>
      <c r="D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1</v>
      </c>
      <c r="E8" s="12">
        <v>0.5</v>
      </c>
      <c r="F8" s="12">
        <v>0.08</v>
      </c>
      <c r="G8" s="12">
        <v>0.19988895058300943</v>
      </c>
      <c r="H8" s="11">
        <v>18</v>
      </c>
      <c r="I8" s="11">
        <v>18</v>
      </c>
      <c r="J8" s="11"/>
      <c r="K8" s="11"/>
      <c r="L8" s="11"/>
      <c r="M8" s="11"/>
      <c r="N8" s="11">
        <v>1</v>
      </c>
      <c r="O8" s="11">
        <v>9.5</v>
      </c>
      <c r="P8" s="12">
        <f>LEI_37[[#This Row],[xPoints Av.]]*LEI_37[[#This Row],[Regularity]]</f>
        <v>4.24</v>
      </c>
      <c r="Q8" s="11" t="s">
        <v>14</v>
      </c>
    </row>
    <row r="9" spans="1:17" ht="24" x14ac:dyDescent="0.45">
      <c r="A9" s="11" t="s">
        <v>265</v>
      </c>
      <c r="B9" s="11" t="s">
        <v>84</v>
      </c>
      <c r="C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4.0199999999999996</v>
      </c>
      <c r="D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0.31578947368421051</v>
      </c>
      <c r="E9" s="12">
        <v>0.4</v>
      </c>
      <c r="F9" s="12">
        <v>0.14000000000000001</v>
      </c>
      <c r="G9" s="12">
        <v>0.234375</v>
      </c>
      <c r="H9" s="18">
        <v>12</v>
      </c>
      <c r="I9" s="18">
        <v>38</v>
      </c>
      <c r="J9" s="11"/>
      <c r="K9" s="11"/>
      <c r="L9" s="11"/>
      <c r="M9" s="11"/>
      <c r="N9" s="11">
        <v>1</v>
      </c>
      <c r="O9" s="11">
        <v>6</v>
      </c>
      <c r="P9" s="12">
        <f>LEI_37[[#This Row],[xPoints Av.]]*LEI_37[[#This Row],[Regularity]]</f>
        <v>1.2694736842105261</v>
      </c>
      <c r="Q9" s="11" t="s">
        <v>14</v>
      </c>
    </row>
    <row r="10" spans="1:17" ht="24" x14ac:dyDescent="0.45">
      <c r="A10" s="11" t="s">
        <v>264</v>
      </c>
      <c r="B10" s="11" t="s">
        <v>84</v>
      </c>
      <c r="C10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3.64</v>
      </c>
      <c r="D10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0" s="12">
        <v>0.26</v>
      </c>
      <c r="F10" s="12">
        <v>0.2</v>
      </c>
      <c r="G10" s="12">
        <v>7.1827613727055067E-2</v>
      </c>
      <c r="H10" s="18">
        <v>11</v>
      </c>
      <c r="I10" s="18">
        <v>38</v>
      </c>
      <c r="J10" s="11"/>
      <c r="K10" s="11"/>
      <c r="L10" s="11"/>
      <c r="M10" s="11"/>
      <c r="N10" s="11">
        <v>1</v>
      </c>
      <c r="O10" s="11">
        <v>6.5</v>
      </c>
      <c r="P10" s="12">
        <f>LEI_37[[#This Row],[xPoints Av.]]*LEI_37[[#This Row],[Regularity]]</f>
        <v>1.0536842105263158</v>
      </c>
      <c r="Q10" s="11" t="s">
        <v>14</v>
      </c>
    </row>
    <row r="11" spans="1:17" ht="24" x14ac:dyDescent="0.45">
      <c r="A11" s="14" t="s">
        <v>247</v>
      </c>
      <c r="B11" s="11" t="s">
        <v>62</v>
      </c>
      <c r="C11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2.756756756756757</v>
      </c>
      <c r="D11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0.97368421052631582</v>
      </c>
      <c r="E11" s="12">
        <v>0</v>
      </c>
      <c r="F11" s="12">
        <v>0</v>
      </c>
      <c r="G11" s="12">
        <v>0.1891891891891892</v>
      </c>
      <c r="H11" s="11">
        <v>37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LEI_37[[#This Row],[xPoints Av.]]*LEI_37[[#This Row],[Regularity]]</f>
        <v>2.6842105263157898</v>
      </c>
      <c r="Q11" s="11" t="s">
        <v>14</v>
      </c>
    </row>
    <row r="12" spans="1:17" ht="24" x14ac:dyDescent="0.45">
      <c r="A12" s="11" t="s">
        <v>257</v>
      </c>
      <c r="B12" s="11" t="s">
        <v>75</v>
      </c>
      <c r="C1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3.4054012932674018</v>
      </c>
      <c r="D1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0.90625</v>
      </c>
      <c r="E12" s="12">
        <v>0.15</v>
      </c>
      <c r="F12" s="12">
        <v>0.15</v>
      </c>
      <c r="G12" s="12">
        <v>0.20540129326740206</v>
      </c>
      <c r="H12" s="11">
        <v>29</v>
      </c>
      <c r="I12" s="11">
        <v>32</v>
      </c>
      <c r="J12" s="11"/>
      <c r="K12" s="11"/>
      <c r="L12" s="11"/>
      <c r="M12" s="11"/>
      <c r="N12" s="11">
        <v>1</v>
      </c>
      <c r="O12" s="11">
        <v>6.5</v>
      </c>
      <c r="P12" s="12">
        <f>LEI_37[[#This Row],[xPoints Av.]]*LEI_37[[#This Row],[Regularity]]</f>
        <v>3.0861449220235828</v>
      </c>
      <c r="Q12" s="11" t="s">
        <v>14</v>
      </c>
    </row>
    <row r="13" spans="1:17" ht="24" x14ac:dyDescent="0.45">
      <c r="A13" s="11" t="s">
        <v>255</v>
      </c>
      <c r="B13" s="11" t="s">
        <v>75</v>
      </c>
      <c r="C1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4.0133740831295839</v>
      </c>
      <c r="D1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0.75</v>
      </c>
      <c r="E13" s="12">
        <v>0.24</v>
      </c>
      <c r="F13" s="12">
        <v>0.21</v>
      </c>
      <c r="G13" s="12">
        <v>0.18337408312958436</v>
      </c>
      <c r="H13" s="11">
        <v>27</v>
      </c>
      <c r="I13" s="11">
        <v>36</v>
      </c>
      <c r="J13" s="11"/>
      <c r="K13" s="11"/>
      <c r="L13" s="11"/>
      <c r="M13" s="11"/>
      <c r="N13" s="11">
        <v>1</v>
      </c>
      <c r="O13" s="11">
        <v>8</v>
      </c>
      <c r="P13" s="12">
        <f>LEI_37[[#This Row],[xPoints Av.]]*LEI_37[[#This Row],[Regularity]]</f>
        <v>3.0100305623471879</v>
      </c>
      <c r="Q13" s="11" t="s">
        <v>14</v>
      </c>
    </row>
    <row r="14" spans="1:17" ht="24" x14ac:dyDescent="0.45">
      <c r="A14" s="11" t="s">
        <v>256</v>
      </c>
      <c r="B14" s="11" t="s">
        <v>75</v>
      </c>
      <c r="C1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4.2636754176610978</v>
      </c>
      <c r="D1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14" s="12">
        <v>0.27</v>
      </c>
      <c r="F14" s="12">
        <v>0.19</v>
      </c>
      <c r="G14" s="12">
        <v>0.34367541766109783</v>
      </c>
      <c r="H14" s="11">
        <v>23</v>
      </c>
      <c r="I14" s="11">
        <v>38</v>
      </c>
      <c r="J14" s="11"/>
      <c r="K14" s="11"/>
      <c r="L14" s="11"/>
      <c r="M14" s="11"/>
      <c r="N14" s="11">
        <v>1</v>
      </c>
      <c r="O14" s="11">
        <v>7</v>
      </c>
      <c r="P14" s="12">
        <f>LEI_37[[#This Row],[xPoints Av.]]*LEI_37[[#This Row],[Regularity]]</f>
        <v>2.5806456475317172</v>
      </c>
      <c r="Q14" s="11" t="s">
        <v>14</v>
      </c>
    </row>
    <row r="15" spans="1:17" ht="24" x14ac:dyDescent="0.45">
      <c r="A15" s="11" t="s">
        <v>260</v>
      </c>
      <c r="B15" s="11" t="s">
        <v>75</v>
      </c>
      <c r="C1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2.4282931354359927</v>
      </c>
      <c r="D1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0.8571428571428571</v>
      </c>
      <c r="E15" s="12">
        <v>0.03</v>
      </c>
      <c r="F15" s="12">
        <v>0</v>
      </c>
      <c r="G15" s="12">
        <v>0.2782931354359926</v>
      </c>
      <c r="H15" s="11">
        <v>18</v>
      </c>
      <c r="I15" s="11">
        <v>21</v>
      </c>
      <c r="J15" s="11"/>
      <c r="K15" s="11"/>
      <c r="L15" s="11"/>
      <c r="M15" s="11"/>
      <c r="N15" s="11">
        <v>1</v>
      </c>
      <c r="O15" s="11">
        <v>5</v>
      </c>
      <c r="P15" s="12">
        <f>LEI_37[[#This Row],[xPoints Av.]]*LEI_37[[#This Row],[Regularity]]</f>
        <v>2.0813941160879934</v>
      </c>
      <c r="Q15" s="11" t="s">
        <v>14</v>
      </c>
    </row>
    <row r="16" spans="1:17" ht="24" x14ac:dyDescent="0.45">
      <c r="A16" s="13" t="s">
        <v>259</v>
      </c>
      <c r="B16" s="11" t="s">
        <v>75</v>
      </c>
      <c r="C1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3.0326939552594006</v>
      </c>
      <c r="D1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0.6216216216216216</v>
      </c>
      <c r="E16" s="12">
        <v>0.06</v>
      </c>
      <c r="F16" s="12">
        <v>0.13</v>
      </c>
      <c r="G16" s="12">
        <v>0.34269395525940027</v>
      </c>
      <c r="H16" s="11">
        <v>23</v>
      </c>
      <c r="I16" s="11">
        <v>37</v>
      </c>
      <c r="J16" s="11"/>
      <c r="K16" s="11"/>
      <c r="L16" s="11"/>
      <c r="M16" s="11"/>
      <c r="N16" s="11">
        <v>1</v>
      </c>
      <c r="O16" s="11">
        <v>5</v>
      </c>
      <c r="P16" s="12">
        <f>LEI_37[[#This Row],[xPoints Av.]]*LEI_37[[#This Row],[Regularity]]</f>
        <v>1.8851881343504382</v>
      </c>
      <c r="Q16" s="11" t="s">
        <v>14</v>
      </c>
    </row>
    <row r="17" spans="1:17" ht="24" x14ac:dyDescent="0.45">
      <c r="A17" s="11" t="s">
        <v>261</v>
      </c>
      <c r="B17" s="11" t="s">
        <v>75</v>
      </c>
      <c r="C1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2.7797160603371784</v>
      </c>
      <c r="D1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7" s="12">
        <v>0.04</v>
      </c>
      <c r="F17" s="12">
        <v>0.14000000000000001</v>
      </c>
      <c r="G17" s="12">
        <v>0.15971606033717836</v>
      </c>
      <c r="H17" s="11">
        <v>11</v>
      </c>
      <c r="I17" s="11">
        <v>38</v>
      </c>
      <c r="J17" s="11"/>
      <c r="K17" s="11"/>
      <c r="L17" s="11"/>
      <c r="M17" s="11"/>
      <c r="N17" s="11">
        <v>1</v>
      </c>
      <c r="O17" s="11">
        <v>5</v>
      </c>
      <c r="P17" s="12">
        <f>LEI_37[[#This Row],[xPoints Av.]]*LEI_37[[#This Row],[Regularity]]</f>
        <v>0.80465464904497275</v>
      </c>
      <c r="Q17" s="11" t="s">
        <v>14</v>
      </c>
    </row>
    <row r="18" spans="1:17" ht="24" x14ac:dyDescent="0.45">
      <c r="A18" s="11" t="s">
        <v>262</v>
      </c>
      <c r="B18" s="11" t="s">
        <v>75</v>
      </c>
      <c r="C1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2.3743835616438358</v>
      </c>
      <c r="D1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8" s="12">
        <v>0.03</v>
      </c>
      <c r="F18" s="12">
        <v>0.02</v>
      </c>
      <c r="G18" s="12">
        <v>0.16438356164383564</v>
      </c>
      <c r="H18" s="11">
        <v>11</v>
      </c>
      <c r="I18" s="11">
        <v>38</v>
      </c>
      <c r="J18" s="11"/>
      <c r="K18" s="11"/>
      <c r="L18" s="11"/>
      <c r="M18" s="11"/>
      <c r="N18" s="11">
        <v>1</v>
      </c>
      <c r="O18" s="11">
        <v>4.5</v>
      </c>
      <c r="P18" s="12">
        <f>LEI_37[[#This Row],[xPoints Av.]]*LEI_37[[#This Row],[Regularity]]</f>
        <v>0.68732155731795253</v>
      </c>
      <c r="Q18" s="11" t="s">
        <v>14</v>
      </c>
    </row>
  </sheetData>
  <dataValidations count="1">
    <dataValidation type="list" allowBlank="1" showInputMessage="1" showErrorMessage="1" sqref="B2:B18" xr:uid="{7D01CE02-54F4-4683-9300-CB9982D0D9A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CBE-C97F-48A1-959C-CA90BAA58303}">
  <dimension ref="A1:Q20"/>
  <sheetViews>
    <sheetView workbookViewId="0">
      <selection activeCell="L9" sqref="L9"/>
    </sheetView>
  </sheetViews>
  <sheetFormatPr defaultRowHeight="15" x14ac:dyDescent="0.25"/>
  <cols>
    <col min="1" max="1" width="23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" t="s">
        <v>270</v>
      </c>
      <c r="B2" s="11" t="s">
        <v>64</v>
      </c>
      <c r="C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5.891293375394322</v>
      </c>
      <c r="D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0.94117647058823528</v>
      </c>
      <c r="E2" s="12">
        <v>7.0000000000000007E-2</v>
      </c>
      <c r="F2" s="12">
        <v>0.4</v>
      </c>
      <c r="G2" s="12">
        <v>0.56782334384858046</v>
      </c>
      <c r="H2" s="11">
        <v>32</v>
      </c>
      <c r="I2" s="11">
        <v>34</v>
      </c>
      <c r="J2" s="11"/>
      <c r="K2" s="11"/>
      <c r="L2" s="11"/>
      <c r="M2" s="11"/>
      <c r="N2" s="11">
        <v>1</v>
      </c>
      <c r="O2" s="11">
        <v>7.5</v>
      </c>
      <c r="P2" s="12">
        <f>LIV_38[[#This Row],[xPoints Av.]]*LIV_38[[#This Row],[Regularity]]</f>
        <v>5.5447467062534797</v>
      </c>
      <c r="Q2" s="11" t="s">
        <v>8</v>
      </c>
    </row>
    <row r="3" spans="1:17" ht="24" x14ac:dyDescent="0.45">
      <c r="A3" s="11" t="s">
        <v>272</v>
      </c>
      <c r="B3" s="11" t="s">
        <v>64</v>
      </c>
      <c r="C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4.9805882352941175</v>
      </c>
      <c r="D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3" s="12">
        <v>0.06</v>
      </c>
      <c r="F3" s="12">
        <v>0.05</v>
      </c>
      <c r="G3" s="12">
        <v>0.61764705882352944</v>
      </c>
      <c r="H3" s="11">
        <v>34</v>
      </c>
      <c r="I3" s="11">
        <v>34</v>
      </c>
      <c r="J3" s="11"/>
      <c r="K3" s="11"/>
      <c r="L3" s="11"/>
      <c r="M3" s="11"/>
      <c r="N3" s="11">
        <v>1</v>
      </c>
      <c r="O3" s="11">
        <v>6.5</v>
      </c>
      <c r="P3" s="12">
        <f>LIV_38[[#This Row],[xPoints Av.]]*LIV_38[[#This Row],[Regularity]]</f>
        <v>4.9805882352941175</v>
      </c>
      <c r="Q3" s="11" t="s">
        <v>8</v>
      </c>
    </row>
    <row r="4" spans="1:17" ht="24" x14ac:dyDescent="0.45">
      <c r="A4" s="11" t="s">
        <v>271</v>
      </c>
      <c r="B4" s="11" t="s">
        <v>64</v>
      </c>
      <c r="C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5.5522979897516755</v>
      </c>
      <c r="D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0.80555555555555558</v>
      </c>
      <c r="E4" s="12">
        <v>0.08</v>
      </c>
      <c r="F4" s="12">
        <v>0.22</v>
      </c>
      <c r="G4" s="12">
        <v>0.60307449743791874</v>
      </c>
      <c r="H4" s="11">
        <v>29</v>
      </c>
      <c r="I4" s="11">
        <v>36</v>
      </c>
      <c r="J4" s="11"/>
      <c r="K4" s="11"/>
      <c r="L4" s="11"/>
      <c r="M4" s="11"/>
      <c r="N4" s="11">
        <v>1</v>
      </c>
      <c r="O4" s="11">
        <v>7</v>
      </c>
      <c r="P4" s="12">
        <f>LIV_38[[#This Row],[xPoints Av.]]*LIV_38[[#This Row],[Regularity]]</f>
        <v>4.4726844917444053</v>
      </c>
      <c r="Q4" s="11" t="s">
        <v>8</v>
      </c>
    </row>
    <row r="5" spans="1:17" ht="24" x14ac:dyDescent="0.45">
      <c r="A5" s="11" t="s">
        <v>273</v>
      </c>
      <c r="B5" s="11" t="s">
        <v>64</v>
      </c>
      <c r="C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4.943548387096774</v>
      </c>
      <c r="D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5" s="12">
        <v>0.09</v>
      </c>
      <c r="F5" s="12">
        <v>7.0000000000000007E-2</v>
      </c>
      <c r="G5" s="12">
        <v>0.54838709677419351</v>
      </c>
      <c r="H5" s="11">
        <v>31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LIV_38[[#This Row],[xPoints Av.]]*LIV_38[[#This Row],[Regularity]]</f>
        <v>4.2569444444444438</v>
      </c>
      <c r="Q5" s="11" t="s">
        <v>8</v>
      </c>
    </row>
    <row r="6" spans="1:17" ht="24" x14ac:dyDescent="0.45">
      <c r="A6" s="11" t="s">
        <v>274</v>
      </c>
      <c r="B6" s="11" t="s">
        <v>64</v>
      </c>
      <c r="C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4.7275972540045768</v>
      </c>
      <c r="D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0.23684210526315788</v>
      </c>
      <c r="E6" s="12">
        <v>7.0000000000000007E-2</v>
      </c>
      <c r="F6" s="12">
        <v>0.22</v>
      </c>
      <c r="G6" s="12">
        <v>0.41189931350114417</v>
      </c>
      <c r="H6" s="11">
        <v>9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LIV_38[[#This Row],[xPoints Av.]]*LIV_38[[#This Row],[Regularity]]</f>
        <v>1.1196940864747682</v>
      </c>
      <c r="Q6" s="11" t="s">
        <v>8</v>
      </c>
    </row>
    <row r="7" spans="1:17" ht="24" x14ac:dyDescent="0.45">
      <c r="A7" s="11" t="s">
        <v>275</v>
      </c>
      <c r="B7" s="11" t="s">
        <v>64</v>
      </c>
      <c r="C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3.5745454545454547</v>
      </c>
      <c r="D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0.28947368421052633</v>
      </c>
      <c r="E7" s="12">
        <v>0.02</v>
      </c>
      <c r="F7" s="12">
        <v>0</v>
      </c>
      <c r="G7" s="12">
        <v>0.36363636363636365</v>
      </c>
      <c r="H7" s="11">
        <v>11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LIV_38[[#This Row],[xPoints Av.]]*LIV_38[[#This Row],[Regularity]]</f>
        <v>1.0347368421052632</v>
      </c>
      <c r="Q7" s="11" t="s">
        <v>8</v>
      </c>
    </row>
    <row r="8" spans="1:17" ht="24" x14ac:dyDescent="0.45">
      <c r="A8" s="11" t="s">
        <v>278</v>
      </c>
      <c r="B8" s="11" t="s">
        <v>84</v>
      </c>
      <c r="C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5.26</v>
      </c>
      <c r="D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0.68571428571428572</v>
      </c>
      <c r="E8" s="12">
        <v>0.65</v>
      </c>
      <c r="F8" s="12">
        <v>0.22</v>
      </c>
      <c r="G8" s="12">
        <v>0.53457785320322437</v>
      </c>
      <c r="H8" s="11">
        <v>24</v>
      </c>
      <c r="I8" s="11">
        <v>35</v>
      </c>
      <c r="J8" s="11"/>
      <c r="K8" s="11"/>
      <c r="L8" s="11"/>
      <c r="M8" s="11"/>
      <c r="N8" s="11">
        <v>1</v>
      </c>
      <c r="O8" s="11">
        <v>9</v>
      </c>
      <c r="P8" s="12">
        <f>LIV_38[[#This Row],[xPoints Av.]]*LIV_38[[#This Row],[Regularity]]</f>
        <v>3.6068571428571428</v>
      </c>
      <c r="Q8" s="11" t="s">
        <v>8</v>
      </c>
    </row>
    <row r="9" spans="1:17" ht="24" x14ac:dyDescent="0.45">
      <c r="A9" s="11" t="s">
        <v>289</v>
      </c>
      <c r="B9" s="11" t="s">
        <v>84</v>
      </c>
      <c r="C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4.5199999999999996</v>
      </c>
      <c r="D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0.66666666666666663</v>
      </c>
      <c r="E9" s="12">
        <v>0.48</v>
      </c>
      <c r="F9" s="12">
        <v>0.2</v>
      </c>
      <c r="G9" s="12">
        <v>0.45918367346938777</v>
      </c>
      <c r="H9" s="18">
        <v>8</v>
      </c>
      <c r="I9" s="18">
        <v>12</v>
      </c>
      <c r="J9" s="11"/>
      <c r="K9" s="11"/>
      <c r="L9" s="11"/>
      <c r="M9" s="11"/>
      <c r="N9" s="11">
        <v>1</v>
      </c>
      <c r="O9" s="11">
        <v>8</v>
      </c>
      <c r="P9" s="12">
        <f>LIV_38[[#This Row],[xPoints Av.]]*LIV_38[[#This Row],[Regularity]]</f>
        <v>3.0133333333333328</v>
      </c>
      <c r="Q9" s="11" t="s">
        <v>8</v>
      </c>
    </row>
    <row r="10" spans="1:17" ht="24" x14ac:dyDescent="0.45">
      <c r="A10" s="11" t="s">
        <v>267</v>
      </c>
      <c r="B10" s="11" t="s">
        <v>62</v>
      </c>
      <c r="C1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4.2222222222222223</v>
      </c>
      <c r="D1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0.97297297297297303</v>
      </c>
      <c r="E10" s="12">
        <v>0</v>
      </c>
      <c r="F10" s="12">
        <v>0</v>
      </c>
      <c r="G10" s="12">
        <v>0.55555555555555558</v>
      </c>
      <c r="H10" s="11">
        <v>36</v>
      </c>
      <c r="I10" s="11">
        <v>37</v>
      </c>
      <c r="J10" s="11"/>
      <c r="K10" s="11"/>
      <c r="L10" s="11"/>
      <c r="M10" s="11"/>
      <c r="N10" s="11">
        <v>1</v>
      </c>
      <c r="O10" s="11">
        <v>5.5</v>
      </c>
      <c r="P10" s="12">
        <f>LIV_38[[#This Row],[xPoints Av.]]*LIV_38[[#This Row],[Regularity]]</f>
        <v>4.1081081081081088</v>
      </c>
      <c r="Q10" s="11" t="s">
        <v>8</v>
      </c>
    </row>
    <row r="11" spans="1:17" ht="24" x14ac:dyDescent="0.45">
      <c r="A11" s="11" t="s">
        <v>276</v>
      </c>
      <c r="B11" s="11" t="s">
        <v>75</v>
      </c>
      <c r="C1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7.514749818709209</v>
      </c>
      <c r="D1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0.83333333333333337</v>
      </c>
      <c r="E11" s="12">
        <v>0.8</v>
      </c>
      <c r="F11" s="12">
        <v>0.32</v>
      </c>
      <c r="G11" s="12">
        <v>0.55474981870920959</v>
      </c>
      <c r="H11" s="11">
        <v>30</v>
      </c>
      <c r="I11" s="11">
        <v>36</v>
      </c>
      <c r="J11" s="11"/>
      <c r="K11" s="11"/>
      <c r="L11" s="11"/>
      <c r="M11" s="11"/>
      <c r="N11" s="11">
        <v>1</v>
      </c>
      <c r="O11" s="11">
        <v>13</v>
      </c>
      <c r="P11" s="12">
        <f>LIV_38[[#This Row],[xPoints Av.]]*LIV_38[[#This Row],[Regularity]]</f>
        <v>6.2622915155910075</v>
      </c>
      <c r="Q11" s="11" t="s">
        <v>8</v>
      </c>
    </row>
    <row r="12" spans="1:17" ht="24" x14ac:dyDescent="0.45">
      <c r="A12" s="11" t="s">
        <v>281</v>
      </c>
      <c r="B12" s="11" t="s">
        <v>75</v>
      </c>
      <c r="C1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3.5983300589390961</v>
      </c>
      <c r="D1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12" s="12">
        <v>0.1</v>
      </c>
      <c r="F12" s="12">
        <v>0.15</v>
      </c>
      <c r="G12" s="12">
        <v>0.64833005893909634</v>
      </c>
      <c r="H12" s="11">
        <v>15</v>
      </c>
      <c r="I12" s="11">
        <v>15</v>
      </c>
      <c r="J12" s="11"/>
      <c r="K12" s="11"/>
      <c r="L12" s="11"/>
      <c r="M12" s="11"/>
      <c r="N12" s="11">
        <v>1</v>
      </c>
      <c r="O12" s="11">
        <v>5.5</v>
      </c>
      <c r="P12" s="12">
        <f>LIV_38[[#This Row],[xPoints Av.]]*LIV_38[[#This Row],[Regularity]]</f>
        <v>3.5983300589390961</v>
      </c>
      <c r="Q12" s="11" t="s">
        <v>8</v>
      </c>
    </row>
    <row r="13" spans="1:17" ht="24" x14ac:dyDescent="0.45">
      <c r="A13" s="11" t="s">
        <v>283</v>
      </c>
      <c r="B13" s="11" t="s">
        <v>75</v>
      </c>
      <c r="C1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5.1642633228840129</v>
      </c>
      <c r="D1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0.625</v>
      </c>
      <c r="E13" s="12">
        <v>0.4</v>
      </c>
      <c r="F13" s="12">
        <v>0.2</v>
      </c>
      <c r="G13" s="12">
        <f>6/(957/90)</f>
        <v>0.5642633228840126</v>
      </c>
      <c r="H13" s="11">
        <v>10</v>
      </c>
      <c r="I13" s="11">
        <v>16</v>
      </c>
      <c r="J13" s="11"/>
      <c r="K13" s="11"/>
      <c r="L13" s="11"/>
      <c r="M13" s="11"/>
      <c r="N13" s="11">
        <v>1</v>
      </c>
      <c r="O13" s="11">
        <v>8</v>
      </c>
      <c r="P13" s="12">
        <f>LIV_38[[#This Row],[xPoints Av.]]*LIV_38[[#This Row],[Regularity]]</f>
        <v>3.2276645768025078</v>
      </c>
      <c r="Q13" s="11" t="s">
        <v>8</v>
      </c>
    </row>
    <row r="14" spans="1:17" ht="24" x14ac:dyDescent="0.45">
      <c r="A14" s="11" t="s">
        <v>280</v>
      </c>
      <c r="B14" s="11" t="s">
        <v>75</v>
      </c>
      <c r="C1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3.7341627001298141</v>
      </c>
      <c r="D1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0.7142857142857143</v>
      </c>
      <c r="E14" s="12">
        <v>0.2</v>
      </c>
      <c r="F14" s="12">
        <v>0.05</v>
      </c>
      <c r="G14" s="12">
        <v>0.58416270012981397</v>
      </c>
      <c r="H14" s="11">
        <v>25</v>
      </c>
      <c r="I14" s="11">
        <v>35</v>
      </c>
      <c r="J14" s="11"/>
      <c r="K14" s="11"/>
      <c r="L14" s="11"/>
      <c r="M14" s="11"/>
      <c r="N14" s="11">
        <v>1</v>
      </c>
      <c r="O14" s="11">
        <v>5.5</v>
      </c>
      <c r="P14" s="12">
        <f>LIV_38[[#This Row],[xPoints Av.]]*LIV_38[[#This Row],[Regularity]]</f>
        <v>2.667259071521296</v>
      </c>
      <c r="Q14" s="11" t="s">
        <v>8</v>
      </c>
    </row>
    <row r="15" spans="1:17" ht="24" x14ac:dyDescent="0.45">
      <c r="A15" s="11" t="s">
        <v>279</v>
      </c>
      <c r="B15" s="11" t="s">
        <v>75</v>
      </c>
      <c r="C1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3.1908333333333334</v>
      </c>
      <c r="D1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0.77777777777777779</v>
      </c>
      <c r="E15" s="12">
        <v>0.05</v>
      </c>
      <c r="F15" s="12">
        <v>0.14000000000000001</v>
      </c>
      <c r="G15" s="12">
        <v>0.52083333333333337</v>
      </c>
      <c r="H15" s="11">
        <v>28</v>
      </c>
      <c r="I15" s="11">
        <v>36</v>
      </c>
      <c r="J15" s="11"/>
      <c r="K15" s="11"/>
      <c r="L15" s="11"/>
      <c r="M15" s="11"/>
      <c r="N15" s="11">
        <v>1</v>
      </c>
      <c r="O15" s="11">
        <v>5.5</v>
      </c>
      <c r="P15" s="12">
        <f>LIV_38[[#This Row],[xPoints Av.]]*LIV_38[[#This Row],[Regularity]]</f>
        <v>2.4817592592592592</v>
      </c>
      <c r="Q15" s="11" t="s">
        <v>8</v>
      </c>
    </row>
    <row r="16" spans="1:17" ht="24" x14ac:dyDescent="0.45">
      <c r="A16" s="11" t="s">
        <v>288</v>
      </c>
      <c r="B16" s="11" t="s">
        <v>75</v>
      </c>
      <c r="C1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3.7132558139534884</v>
      </c>
      <c r="D1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0.5</v>
      </c>
      <c r="E16" s="12">
        <v>0.16</v>
      </c>
      <c r="F16" s="12">
        <v>0.13</v>
      </c>
      <c r="G16" s="12">
        <v>0.5232558139534883</v>
      </c>
      <c r="H16" s="18">
        <v>4</v>
      </c>
      <c r="I16" s="18">
        <v>8</v>
      </c>
      <c r="J16" s="11"/>
      <c r="K16" s="11"/>
      <c r="L16" s="11"/>
      <c r="M16" s="11"/>
      <c r="N16" s="11">
        <v>1</v>
      </c>
      <c r="O16" s="11">
        <v>5</v>
      </c>
      <c r="P16" s="12">
        <f>LIV_38[[#This Row],[xPoints Av.]]*LIV_38[[#This Row],[Regularity]]</f>
        <v>1.8566279069767442</v>
      </c>
      <c r="Q16" s="11" t="s">
        <v>8</v>
      </c>
    </row>
    <row r="17" spans="1:17" ht="24" x14ac:dyDescent="0.45">
      <c r="A17" s="11" t="s">
        <v>282</v>
      </c>
      <c r="B17" s="11" t="s">
        <v>75</v>
      </c>
      <c r="C1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3.8359110350727121</v>
      </c>
      <c r="D1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</v>
      </c>
      <c r="E17" s="12">
        <v>0.16</v>
      </c>
      <c r="F17" s="12">
        <v>0.14000000000000001</v>
      </c>
      <c r="G17" s="12">
        <v>0.61591103507271172</v>
      </c>
      <c r="H17" s="11">
        <v>12</v>
      </c>
      <c r="I17" s="11">
        <v>30</v>
      </c>
      <c r="J17" s="11"/>
      <c r="K17" s="11"/>
      <c r="L17" s="11"/>
      <c r="M17" s="11"/>
      <c r="N17" s="11">
        <v>1</v>
      </c>
      <c r="O17" s="11">
        <v>5</v>
      </c>
      <c r="P17" s="12">
        <f>LIV_38[[#This Row],[xPoints Av.]]*LIV_38[[#This Row],[Regularity]]</f>
        <v>1.5343644140290849</v>
      </c>
      <c r="Q17" s="11" t="s">
        <v>8</v>
      </c>
    </row>
    <row r="18" spans="1:17" ht="24" x14ac:dyDescent="0.45">
      <c r="A18" s="11" t="s">
        <v>285</v>
      </c>
      <c r="B18" s="11" t="s">
        <v>75</v>
      </c>
      <c r="C1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3.0840282685512368</v>
      </c>
      <c r="D1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0.41666666666666669</v>
      </c>
      <c r="E18" s="12">
        <v>0.09</v>
      </c>
      <c r="F18" s="12">
        <v>7.0000000000000007E-2</v>
      </c>
      <c r="G18" s="12">
        <v>0.42402826855123676</v>
      </c>
      <c r="H18" s="18">
        <v>10</v>
      </c>
      <c r="I18" s="18">
        <v>24</v>
      </c>
      <c r="J18" s="11"/>
      <c r="K18" s="11"/>
      <c r="L18" s="11"/>
      <c r="M18" s="11"/>
      <c r="N18" s="11">
        <v>1</v>
      </c>
      <c r="O18" s="11">
        <v>5</v>
      </c>
      <c r="P18" s="12">
        <f>LIV_38[[#This Row],[xPoints Av.]]*LIV_38[[#This Row],[Regularity]]</f>
        <v>1.2850117785630153</v>
      </c>
      <c r="Q18" s="11" t="s">
        <v>8</v>
      </c>
    </row>
    <row r="19" spans="1:17" ht="24" x14ac:dyDescent="0.45">
      <c r="A19" s="11" t="s">
        <v>286</v>
      </c>
      <c r="B19" s="11" t="s">
        <v>75</v>
      </c>
      <c r="C1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3.3165402843601894</v>
      </c>
      <c r="D1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0.21052631578947367</v>
      </c>
      <c r="E19" s="12">
        <v>0.04</v>
      </c>
      <c r="F19" s="12">
        <v>0.23</v>
      </c>
      <c r="G19" s="12">
        <v>0.42654028436018954</v>
      </c>
      <c r="H19" s="18">
        <v>8</v>
      </c>
      <c r="I19" s="18">
        <v>38</v>
      </c>
      <c r="J19" s="11"/>
      <c r="K19" s="11"/>
      <c r="L19" s="11"/>
      <c r="M19" s="11"/>
      <c r="N19" s="11">
        <v>1</v>
      </c>
      <c r="O19" s="11">
        <v>4.5</v>
      </c>
      <c r="P19" s="12">
        <f>LIV_38[[#This Row],[xPoints Av.]]*LIV_38[[#This Row],[Regularity]]</f>
        <v>0.6982190072337241</v>
      </c>
      <c r="Q19" s="11" t="s">
        <v>8</v>
      </c>
    </row>
    <row r="20" spans="1:17" ht="24" x14ac:dyDescent="0.45">
      <c r="A20" s="20" t="s">
        <v>284</v>
      </c>
      <c r="B20" s="11" t="s">
        <v>75</v>
      </c>
      <c r="C2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3.4974903474903476</v>
      </c>
      <c r="D2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0.15789473684210525</v>
      </c>
      <c r="E20" s="12">
        <v>0.14000000000000001</v>
      </c>
      <c r="F20" s="12">
        <v>0.15</v>
      </c>
      <c r="G20" s="12">
        <v>0.34749034749034752</v>
      </c>
      <c r="H20" s="11">
        <v>6</v>
      </c>
      <c r="I20" s="11">
        <v>38</v>
      </c>
      <c r="J20" s="11"/>
      <c r="K20" s="11"/>
      <c r="L20" s="11"/>
      <c r="M20" s="11"/>
      <c r="N20" s="11">
        <v>1</v>
      </c>
      <c r="O20" s="11">
        <v>5</v>
      </c>
      <c r="P20" s="12">
        <f>LIV_38[[#This Row],[xPoints Av.]]*LIV_38[[#This Row],[Regularity]]</f>
        <v>0.55223531802479164</v>
      </c>
      <c r="Q20" s="11" t="s">
        <v>8</v>
      </c>
    </row>
  </sheetData>
  <dataValidations count="1">
    <dataValidation type="list" allowBlank="1" showInputMessage="1" showErrorMessage="1" sqref="B2:B20" xr:uid="{68C448B8-3280-4A41-BED2-893C6E3457F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18E-6AF3-4046-8070-F716528ED7E4}">
  <dimension ref="A1:Q18"/>
  <sheetViews>
    <sheetView workbookViewId="0">
      <selection activeCell="L13" sqref="L13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294</v>
      </c>
      <c r="B2" s="11" t="s">
        <v>64</v>
      </c>
      <c r="C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5.4096157421753954</v>
      </c>
      <c r="D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0.94736842105263153</v>
      </c>
      <c r="E2" s="12">
        <v>0.13</v>
      </c>
      <c r="F2" s="12">
        <v>0.17</v>
      </c>
      <c r="G2" s="12">
        <v>0.52990393554384885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7</v>
      </c>
      <c r="P2" s="12">
        <f>MCI_39[[#This Row],[xPoints Av.]]*MCI_39[[#This Row],[Regularity]]</f>
        <v>5.1248991241661637</v>
      </c>
      <c r="Q2" s="11" t="s">
        <v>7</v>
      </c>
    </row>
    <row r="3" spans="1:17" ht="24" x14ac:dyDescent="0.45">
      <c r="A3" s="11" t="s">
        <v>295</v>
      </c>
      <c r="B3" s="11" t="s">
        <v>64</v>
      </c>
      <c r="C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5.1897526501766791</v>
      </c>
      <c r="D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0.83783783783783783</v>
      </c>
      <c r="E3" s="12">
        <v>0.14000000000000001</v>
      </c>
      <c r="F3" s="12">
        <v>0.02</v>
      </c>
      <c r="G3" s="12">
        <v>0.57243816254416968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MCI_39[[#This Row],[xPoints Av.]]*MCI_39[[#This Row],[Regularity]]</f>
        <v>4.348171139337218</v>
      </c>
      <c r="Q3" s="11" t="s">
        <v>7</v>
      </c>
    </row>
    <row r="4" spans="1:17" ht="24" x14ac:dyDescent="0.45">
      <c r="A4" s="11" t="s">
        <v>296</v>
      </c>
      <c r="B4" s="11" t="s">
        <v>64</v>
      </c>
      <c r="C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4.999125364431487</v>
      </c>
      <c r="D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0.83870967741935487</v>
      </c>
      <c r="E4" s="12">
        <v>0.09</v>
      </c>
      <c r="F4" s="12">
        <v>0.12</v>
      </c>
      <c r="G4" s="12">
        <v>0.52478134110787178</v>
      </c>
      <c r="H4" s="11">
        <v>26</v>
      </c>
      <c r="I4" s="11">
        <v>31</v>
      </c>
      <c r="J4" s="11"/>
      <c r="K4" s="11"/>
      <c r="L4" s="11"/>
      <c r="M4" s="11"/>
      <c r="N4" s="11">
        <v>1</v>
      </c>
      <c r="O4" s="11">
        <v>6</v>
      </c>
      <c r="P4" s="12">
        <f>MCI_39[[#This Row],[xPoints Av.]]*MCI_39[[#This Row],[Regularity]]</f>
        <v>4.1928148217812478</v>
      </c>
      <c r="Q4" s="11" t="s">
        <v>7</v>
      </c>
    </row>
    <row r="5" spans="1:17" ht="24" x14ac:dyDescent="0.45">
      <c r="A5" s="11" t="s">
        <v>297</v>
      </c>
      <c r="B5" s="11" t="s">
        <v>64</v>
      </c>
      <c r="C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4.3212820512820507</v>
      </c>
      <c r="D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0.61290322580645162</v>
      </c>
      <c r="E5" s="12">
        <v>0.01</v>
      </c>
      <c r="F5" s="12">
        <v>7.0000000000000007E-2</v>
      </c>
      <c r="G5" s="12">
        <v>0.51282051282051277</v>
      </c>
      <c r="H5" s="11">
        <v>19</v>
      </c>
      <c r="I5" s="11">
        <v>31</v>
      </c>
      <c r="J5" s="11"/>
      <c r="K5" s="11"/>
      <c r="L5" s="11"/>
      <c r="M5" s="11"/>
      <c r="N5" s="11">
        <v>1</v>
      </c>
      <c r="O5" s="11">
        <v>5</v>
      </c>
      <c r="P5" s="12">
        <f>MCI_39[[#This Row],[xPoints Av.]]*MCI_39[[#This Row],[Regularity]]</f>
        <v>2.6485277088502892</v>
      </c>
      <c r="Q5" s="11" t="s">
        <v>7</v>
      </c>
    </row>
    <row r="6" spans="1:17" ht="24" x14ac:dyDescent="0.45">
      <c r="A6" s="11" t="s">
        <v>298</v>
      </c>
      <c r="B6" s="11" t="s">
        <v>64</v>
      </c>
      <c r="C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5.5306266786034017</v>
      </c>
      <c r="D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0.35294117647058826</v>
      </c>
      <c r="E6" s="12">
        <v>0.1</v>
      </c>
      <c r="F6" s="12">
        <v>0.01</v>
      </c>
      <c r="G6" s="12">
        <v>0.72515666965085046</v>
      </c>
      <c r="H6" s="11">
        <v>12</v>
      </c>
      <c r="I6" s="11">
        <v>34</v>
      </c>
      <c r="J6" s="11"/>
      <c r="K6" s="11"/>
      <c r="L6" s="11"/>
      <c r="M6" s="11"/>
      <c r="N6" s="11">
        <v>1</v>
      </c>
      <c r="O6" s="11">
        <v>5.5</v>
      </c>
      <c r="P6" s="12">
        <f>MCI_39[[#This Row],[xPoints Av.]]*MCI_39[[#This Row],[Regularity]]</f>
        <v>1.9519858865659065</v>
      </c>
      <c r="Q6" s="11" t="s">
        <v>7</v>
      </c>
    </row>
    <row r="7" spans="1:17" ht="24" x14ac:dyDescent="0.45">
      <c r="A7" s="11" t="s">
        <v>299</v>
      </c>
      <c r="B7" s="11" t="s">
        <v>64</v>
      </c>
      <c r="C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4.564137931034483</v>
      </c>
      <c r="D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0.35714285714285715</v>
      </c>
      <c r="E7" s="12">
        <v>0.04</v>
      </c>
      <c r="F7" s="12">
        <v>0.2</v>
      </c>
      <c r="G7" s="12">
        <v>0.43103448275862072</v>
      </c>
      <c r="H7" s="11">
        <v>10</v>
      </c>
      <c r="I7" s="11">
        <v>28</v>
      </c>
      <c r="J7" s="11"/>
      <c r="K7" s="11"/>
      <c r="L7" s="11"/>
      <c r="M7" s="11"/>
      <c r="N7" s="11">
        <v>1</v>
      </c>
      <c r="O7" s="11">
        <v>5</v>
      </c>
      <c r="P7" s="12">
        <f>MCI_39[[#This Row],[xPoints Av.]]*MCI_39[[#This Row],[Regularity]]</f>
        <v>1.630049261083744</v>
      </c>
      <c r="Q7" s="11" t="s">
        <v>7</v>
      </c>
    </row>
    <row r="8" spans="1:17" ht="24" x14ac:dyDescent="0.45">
      <c r="A8" s="11" t="s">
        <v>300</v>
      </c>
      <c r="B8" s="11" t="s">
        <v>64</v>
      </c>
      <c r="C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4.9186507072905332</v>
      </c>
      <c r="D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0.21052631578947367</v>
      </c>
      <c r="E8" s="12">
        <v>0.13</v>
      </c>
      <c r="F8" s="12">
        <v>0.06</v>
      </c>
      <c r="G8" s="12">
        <v>0.48966267682263331</v>
      </c>
      <c r="H8" s="11">
        <v>8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MCI_39[[#This Row],[xPoints Av.]]*MCI_39[[#This Row],[Regularity]]</f>
        <v>1.0355054120611649</v>
      </c>
      <c r="Q8" s="11" t="s">
        <v>7</v>
      </c>
    </row>
    <row r="9" spans="1:17" ht="24" x14ac:dyDescent="0.45">
      <c r="A9" s="11" t="s">
        <v>291</v>
      </c>
      <c r="B9" s="11" t="s">
        <v>62</v>
      </c>
      <c r="C9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4.1621621621621623</v>
      </c>
      <c r="D9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0.97368421052631582</v>
      </c>
      <c r="E9" s="12">
        <v>0</v>
      </c>
      <c r="F9" s="12">
        <v>0</v>
      </c>
      <c r="G9" s="12">
        <v>0.54054054054054057</v>
      </c>
      <c r="H9" s="11">
        <v>37</v>
      </c>
      <c r="I9" s="11">
        <v>38</v>
      </c>
      <c r="J9" s="11"/>
      <c r="K9" s="11"/>
      <c r="L9" s="11"/>
      <c r="M9" s="11"/>
      <c r="N9" s="11">
        <v>1</v>
      </c>
      <c r="O9" s="11">
        <v>5.5</v>
      </c>
      <c r="P9" s="12">
        <f>MCI_39[[#This Row],[xPoints Av.]]*MCI_39[[#This Row],[Regularity]]</f>
        <v>4.052631578947369</v>
      </c>
      <c r="Q9" s="11" t="s">
        <v>7</v>
      </c>
    </row>
    <row r="10" spans="1:17" ht="24" x14ac:dyDescent="0.45">
      <c r="A10" s="11" t="s">
        <v>301</v>
      </c>
      <c r="B10" s="11" t="s">
        <v>75</v>
      </c>
      <c r="C10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5.1127868852459013</v>
      </c>
      <c r="D10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0.76666666666666672</v>
      </c>
      <c r="E10" s="12">
        <v>0.24</v>
      </c>
      <c r="F10" s="12">
        <v>0.46</v>
      </c>
      <c r="G10" s="12">
        <v>0.53278688524590168</v>
      </c>
      <c r="H10" s="11">
        <v>23</v>
      </c>
      <c r="I10" s="11">
        <v>30</v>
      </c>
      <c r="J10" s="11"/>
      <c r="K10" s="11"/>
      <c r="L10" s="11"/>
      <c r="M10" s="11"/>
      <c r="N10" s="11">
        <v>1</v>
      </c>
      <c r="O10" s="11">
        <v>12</v>
      </c>
      <c r="P10" s="12">
        <f>MCI_39[[#This Row],[xPoints Av.]]*MCI_39[[#This Row],[Regularity]]</f>
        <v>3.9198032786885246</v>
      </c>
      <c r="Q10" s="11" t="s">
        <v>7</v>
      </c>
    </row>
    <row r="11" spans="1:17" ht="24" x14ac:dyDescent="0.45">
      <c r="A11" s="11" t="s">
        <v>302</v>
      </c>
      <c r="B11" s="11" t="s">
        <v>75</v>
      </c>
      <c r="C11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6.5316265912305518</v>
      </c>
      <c r="D11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1" s="12">
        <v>0.67</v>
      </c>
      <c r="F11" s="12">
        <v>0.21</v>
      </c>
      <c r="G11" s="12">
        <v>0.55162659123055158</v>
      </c>
      <c r="H11" s="11">
        <v>22</v>
      </c>
      <c r="I11" s="11">
        <v>38</v>
      </c>
      <c r="J11" s="11"/>
      <c r="K11" s="11"/>
      <c r="L11" s="11"/>
      <c r="M11" s="11"/>
      <c r="N11" s="11">
        <v>1</v>
      </c>
      <c r="O11" s="11">
        <v>10</v>
      </c>
      <c r="P11" s="12">
        <f>MCI_39[[#This Row],[xPoints Av.]]*MCI_39[[#This Row],[Regularity]]</f>
        <v>3.7814680265018987</v>
      </c>
      <c r="Q11" s="11" t="s">
        <v>7</v>
      </c>
    </row>
    <row r="12" spans="1:17" ht="24" x14ac:dyDescent="0.45">
      <c r="A12" s="11" t="s">
        <v>304</v>
      </c>
      <c r="B12" s="11" t="s">
        <v>75</v>
      </c>
      <c r="C1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5.3705882352941181</v>
      </c>
      <c r="D1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0.67647058823529416</v>
      </c>
      <c r="E12" s="12">
        <v>0.39</v>
      </c>
      <c r="F12" s="12">
        <v>0.28999999999999998</v>
      </c>
      <c r="G12" s="12">
        <v>0.55058823529411771</v>
      </c>
      <c r="H12" s="11">
        <v>23</v>
      </c>
      <c r="I12" s="11">
        <v>34</v>
      </c>
      <c r="J12" s="11"/>
      <c r="K12" s="11"/>
      <c r="L12" s="11"/>
      <c r="M12" s="11"/>
      <c r="N12" s="11">
        <v>1</v>
      </c>
      <c r="O12" s="11">
        <v>8</v>
      </c>
      <c r="P12" s="12">
        <f>MCI_39[[#This Row],[xPoints Av.]]*MCI_39[[#This Row],[Regularity]]</f>
        <v>3.6330449826989626</v>
      </c>
      <c r="Q12" s="11" t="s">
        <v>7</v>
      </c>
    </row>
    <row r="13" spans="1:17" ht="24" x14ac:dyDescent="0.45">
      <c r="A13" s="11" t="s">
        <v>303</v>
      </c>
      <c r="B13" s="11" t="s">
        <v>75</v>
      </c>
      <c r="C1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4.334201680672269</v>
      </c>
      <c r="D1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0.81578947368421051</v>
      </c>
      <c r="E13" s="12">
        <v>0.24</v>
      </c>
      <c r="F13" s="12">
        <v>0.21</v>
      </c>
      <c r="G13" s="12">
        <v>0.50420168067226889</v>
      </c>
      <c r="H13" s="11">
        <v>31</v>
      </c>
      <c r="I13" s="11">
        <v>38</v>
      </c>
      <c r="J13" s="11"/>
      <c r="K13" s="11"/>
      <c r="L13" s="11"/>
      <c r="M13" s="11"/>
      <c r="N13" s="11">
        <v>1</v>
      </c>
      <c r="O13" s="11">
        <v>7</v>
      </c>
      <c r="P13" s="12">
        <f>MCI_39[[#This Row],[xPoints Av.]]*MCI_39[[#This Row],[Regularity]]</f>
        <v>3.5357961079168509</v>
      </c>
      <c r="Q13" s="11" t="s">
        <v>7</v>
      </c>
    </row>
    <row r="14" spans="1:17" ht="24" x14ac:dyDescent="0.45">
      <c r="A14" s="11" t="s">
        <v>307</v>
      </c>
      <c r="B14" s="11" t="s">
        <v>75</v>
      </c>
      <c r="C1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5.7207131280388976</v>
      </c>
      <c r="D1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0.55882352941176472</v>
      </c>
      <c r="E14" s="12">
        <v>0.47</v>
      </c>
      <c r="F14" s="12">
        <v>0.23</v>
      </c>
      <c r="G14" s="12">
        <v>0.68071312803889794</v>
      </c>
      <c r="H14" s="11">
        <v>19</v>
      </c>
      <c r="I14" s="11">
        <v>34</v>
      </c>
      <c r="J14" s="11"/>
      <c r="K14" s="11"/>
      <c r="L14" s="11"/>
      <c r="M14" s="11"/>
      <c r="N14" s="11">
        <v>1</v>
      </c>
      <c r="O14" s="11">
        <v>7.5</v>
      </c>
      <c r="P14" s="12">
        <f>MCI_39[[#This Row],[xPoints Av.]]*MCI_39[[#This Row],[Regularity]]</f>
        <v>3.1968691009629135</v>
      </c>
      <c r="Q14" s="11" t="s">
        <v>7</v>
      </c>
    </row>
    <row r="15" spans="1:17" ht="24" x14ac:dyDescent="0.45">
      <c r="A15" s="11" t="s">
        <v>308</v>
      </c>
      <c r="B15" s="11" t="s">
        <v>75</v>
      </c>
      <c r="C1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4.756806282722513</v>
      </c>
      <c r="D1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5" s="12">
        <v>0.26</v>
      </c>
      <c r="F15" s="12">
        <v>0.25</v>
      </c>
      <c r="G15" s="12">
        <v>0.70680628272251311</v>
      </c>
      <c r="H15" s="11">
        <v>22</v>
      </c>
      <c r="I15" s="11">
        <v>38</v>
      </c>
      <c r="J15" s="11"/>
      <c r="K15" s="11"/>
      <c r="L15" s="11"/>
      <c r="M15" s="11"/>
      <c r="N15" s="11">
        <v>1</v>
      </c>
      <c r="O15" s="11">
        <v>7</v>
      </c>
      <c r="P15" s="12">
        <f>MCI_39[[#This Row],[xPoints Av.]]*MCI_39[[#This Row],[Regularity]]</f>
        <v>2.7539404794709288</v>
      </c>
      <c r="Q15" s="11" t="s">
        <v>7</v>
      </c>
    </row>
    <row r="16" spans="1:17" ht="24" x14ac:dyDescent="0.45">
      <c r="A16" s="11" t="s">
        <v>306</v>
      </c>
      <c r="B16" s="11" t="s">
        <v>75</v>
      </c>
      <c r="C1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3.0805131761442439</v>
      </c>
      <c r="D1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0.84210526315789469</v>
      </c>
      <c r="E16" s="12">
        <v>0.08</v>
      </c>
      <c r="F16" s="12">
        <v>0.05</v>
      </c>
      <c r="G16" s="12">
        <v>0.53051317614424409</v>
      </c>
      <c r="H16" s="11">
        <v>32</v>
      </c>
      <c r="I16" s="11">
        <v>38</v>
      </c>
      <c r="J16" s="11"/>
      <c r="K16" s="11"/>
      <c r="L16" s="11"/>
      <c r="M16" s="11"/>
      <c r="N16" s="11">
        <v>1</v>
      </c>
      <c r="O16" s="11">
        <v>6</v>
      </c>
      <c r="P16" s="12">
        <f>MCI_39[[#This Row],[xPoints Av.]]*MCI_39[[#This Row],[Regularity]]</f>
        <v>2.5941163588583107</v>
      </c>
      <c r="Q16" s="11" t="s">
        <v>7</v>
      </c>
    </row>
    <row r="17" spans="1:17" ht="24" x14ac:dyDescent="0.45">
      <c r="A17" s="11" t="s">
        <v>305</v>
      </c>
      <c r="B17" s="11" t="s">
        <v>75</v>
      </c>
      <c r="C1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6.2442424242424241</v>
      </c>
      <c r="D1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0.3783783783783784</v>
      </c>
      <c r="E17" s="12">
        <v>0.62</v>
      </c>
      <c r="F17" s="12">
        <v>0.24</v>
      </c>
      <c r="G17" s="12">
        <v>0.42424242424242425</v>
      </c>
      <c r="H17" s="11">
        <v>14</v>
      </c>
      <c r="I17" s="11">
        <v>37</v>
      </c>
      <c r="J17" s="11"/>
      <c r="K17" s="11"/>
      <c r="L17" s="11"/>
      <c r="M17" s="11"/>
      <c r="N17" s="11">
        <v>1</v>
      </c>
      <c r="O17" s="11">
        <v>8</v>
      </c>
      <c r="P17" s="12">
        <f>MCI_39[[#This Row],[xPoints Av.]]*MCI_39[[#This Row],[Regularity]]</f>
        <v>2.3626863226863226</v>
      </c>
      <c r="Q17" s="11" t="s">
        <v>7</v>
      </c>
    </row>
    <row r="18" spans="1:17" ht="24" x14ac:dyDescent="0.45">
      <c r="A18" s="11" t="s">
        <v>241</v>
      </c>
      <c r="B18" s="11" t="s">
        <v>75</v>
      </c>
      <c r="C1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2.5793851944792974</v>
      </c>
      <c r="D1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0.72727272727272729</v>
      </c>
      <c r="E18" s="12">
        <v>0.04</v>
      </c>
      <c r="F18" s="12">
        <v>7.0000000000000007E-2</v>
      </c>
      <c r="G18" s="12">
        <v>0.16938519447929737</v>
      </c>
      <c r="H18" s="11">
        <v>16</v>
      </c>
      <c r="I18" s="11">
        <v>22</v>
      </c>
      <c r="J18" s="11"/>
      <c r="K18" s="11"/>
      <c r="L18" s="11"/>
      <c r="M18" s="11"/>
      <c r="N18" s="11">
        <v>1</v>
      </c>
      <c r="O18" s="11">
        <v>5</v>
      </c>
      <c r="P18" s="12">
        <f>MCI_39[[#This Row],[xPoints Av.]]*MCI_39[[#This Row],[Regularity]]</f>
        <v>1.8759165050758526</v>
      </c>
      <c r="Q18" s="11" t="s">
        <v>7</v>
      </c>
    </row>
  </sheetData>
  <dataValidations count="1">
    <dataValidation type="list" allowBlank="1" showInputMessage="1" showErrorMessage="1" sqref="B2:B18" xr:uid="{095431DD-AA29-4925-97F0-E875B50DA53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71-CC1F-4189-BC85-A6858B23B013}">
  <dimension ref="A1:Q19"/>
  <sheetViews>
    <sheetView workbookViewId="0">
      <selection activeCell="O18" sqref="O18"/>
    </sheetView>
  </sheetViews>
  <sheetFormatPr defaultRowHeight="15" x14ac:dyDescent="0.25"/>
  <cols>
    <col min="1" max="1" width="19.140625" customWidth="1"/>
    <col min="9" max="9" width="9.85546875" bestFit="1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313</v>
      </c>
      <c r="B2" s="11" t="s">
        <v>64</v>
      </c>
      <c r="C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3.512785515320334</v>
      </c>
      <c r="D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0.93548387096774188</v>
      </c>
      <c r="E2" s="12">
        <v>0.08</v>
      </c>
      <c r="F2" s="12">
        <v>0.01</v>
      </c>
      <c r="G2" s="12">
        <v>0.25069637883008355</v>
      </c>
      <c r="H2" s="11">
        <v>29</v>
      </c>
      <c r="I2" s="11">
        <v>31</v>
      </c>
      <c r="J2" s="11"/>
      <c r="K2" s="11"/>
      <c r="L2" s="11"/>
      <c r="M2" s="11"/>
      <c r="N2" s="11">
        <v>1</v>
      </c>
      <c r="O2" s="11">
        <v>5</v>
      </c>
      <c r="P2" s="12">
        <f>MUN_40[[#This Row],[xPoints Av.]]*MUN_40[[#This Row],[Regularity]]</f>
        <v>3.28615419175128</v>
      </c>
      <c r="Q2" s="11" t="s">
        <v>12</v>
      </c>
    </row>
    <row r="3" spans="1:17" ht="24" x14ac:dyDescent="0.45">
      <c r="A3" s="11" t="s">
        <v>312</v>
      </c>
      <c r="B3" s="11" t="s">
        <v>64</v>
      </c>
      <c r="C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3.2541443411700381</v>
      </c>
      <c r="D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3" s="12">
        <v>0.04</v>
      </c>
      <c r="F3" s="12">
        <v>0.01</v>
      </c>
      <c r="G3" s="12">
        <v>0.24603608529250956</v>
      </c>
      <c r="H3" s="11">
        <v>21</v>
      </c>
      <c r="I3" s="11">
        <v>21</v>
      </c>
      <c r="J3" s="11"/>
      <c r="K3" s="11"/>
      <c r="L3" s="11"/>
      <c r="M3" s="11"/>
      <c r="N3" s="11">
        <v>1</v>
      </c>
      <c r="O3" s="11">
        <v>5</v>
      </c>
      <c r="P3" s="12">
        <f>MUN_40[[#This Row],[xPoints Av.]]*MUN_40[[#This Row],[Regularity]]</f>
        <v>3.2541443411700381</v>
      </c>
      <c r="Q3" s="11" t="s">
        <v>12</v>
      </c>
    </row>
    <row r="4" spans="1:17" ht="24" x14ac:dyDescent="0.45">
      <c r="A4" s="11" t="s">
        <v>317</v>
      </c>
      <c r="B4" s="11" t="s">
        <v>64</v>
      </c>
      <c r="C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3.3650000000000002</v>
      </c>
      <c r="D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</v>
      </c>
      <c r="E4" s="12">
        <v>0.01</v>
      </c>
      <c r="F4" s="12">
        <v>0.21</v>
      </c>
      <c r="G4" s="12">
        <v>0.16874999999999998</v>
      </c>
      <c r="H4" s="11">
        <v>18</v>
      </c>
      <c r="I4" s="11">
        <v>20</v>
      </c>
      <c r="J4" s="11"/>
      <c r="K4" s="11"/>
      <c r="L4" s="11"/>
      <c r="M4" s="11"/>
      <c r="N4" s="11">
        <v>1</v>
      </c>
      <c r="O4" s="11">
        <v>5</v>
      </c>
      <c r="P4" s="12">
        <f>MUN_40[[#This Row],[xPoints Av.]]*MUN_40[[#This Row],[Regularity]]</f>
        <v>3.0285000000000002</v>
      </c>
      <c r="Q4" s="11" t="s">
        <v>12</v>
      </c>
    </row>
    <row r="5" spans="1:17" ht="24" x14ac:dyDescent="0.45">
      <c r="A5" s="11" t="s">
        <v>315</v>
      </c>
      <c r="B5" s="11" t="s">
        <v>64</v>
      </c>
      <c r="C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3.0679770505737354</v>
      </c>
      <c r="D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0.84375</v>
      </c>
      <c r="E5" s="12">
        <v>0.01</v>
      </c>
      <c r="F5" s="12">
        <v>0.03</v>
      </c>
      <c r="G5" s="12">
        <v>0.22949426264343389</v>
      </c>
      <c r="H5" s="11">
        <v>27</v>
      </c>
      <c r="I5" s="11">
        <v>32</v>
      </c>
      <c r="J5" s="11"/>
      <c r="K5" s="11"/>
      <c r="L5" s="11"/>
      <c r="M5" s="11"/>
      <c r="N5" s="11">
        <v>1</v>
      </c>
      <c r="O5" s="11">
        <v>4.5</v>
      </c>
      <c r="P5" s="12">
        <f>MUN_40[[#This Row],[xPoints Av.]]*MUN_40[[#This Row],[Regularity]]</f>
        <v>2.588605636421589</v>
      </c>
      <c r="Q5" s="11" t="s">
        <v>12</v>
      </c>
    </row>
    <row r="6" spans="1:17" ht="24" x14ac:dyDescent="0.45">
      <c r="A6" s="11" t="s">
        <v>314</v>
      </c>
      <c r="B6" s="11" t="s">
        <v>64</v>
      </c>
      <c r="C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3.5656453558504224</v>
      </c>
      <c r="D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0.61290322580645162</v>
      </c>
      <c r="E6" s="12">
        <v>0.02</v>
      </c>
      <c r="F6" s="12">
        <v>0.12</v>
      </c>
      <c r="G6" s="12">
        <v>0.27141133896260555</v>
      </c>
      <c r="H6" s="11">
        <v>19</v>
      </c>
      <c r="I6" s="11">
        <v>31</v>
      </c>
      <c r="J6" s="11"/>
      <c r="K6" s="11"/>
      <c r="L6" s="11"/>
      <c r="M6" s="11"/>
      <c r="N6" s="11">
        <v>1</v>
      </c>
      <c r="O6" s="11">
        <v>5</v>
      </c>
      <c r="P6" s="12">
        <f>MUN_40[[#This Row],[xPoints Av.]]*MUN_40[[#This Row],[Regularity]]</f>
        <v>2.1853955406825172</v>
      </c>
      <c r="Q6" s="11" t="s">
        <v>12</v>
      </c>
    </row>
    <row r="7" spans="1:17" ht="24" x14ac:dyDescent="0.45">
      <c r="A7" s="11" t="s">
        <v>316</v>
      </c>
      <c r="B7" s="11" t="s">
        <v>64</v>
      </c>
      <c r="C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3.3016694490818033</v>
      </c>
      <c r="D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0.52631578947368418</v>
      </c>
      <c r="E7" s="12">
        <v>0.03</v>
      </c>
      <c r="F7" s="12">
        <v>0.04</v>
      </c>
      <c r="G7" s="12">
        <v>0.25041736227045075</v>
      </c>
      <c r="H7" s="11">
        <v>20</v>
      </c>
      <c r="I7" s="11">
        <v>38</v>
      </c>
      <c r="J7" s="11"/>
      <c r="K7" s="11"/>
      <c r="L7" s="11"/>
      <c r="M7" s="11"/>
      <c r="N7" s="11">
        <v>1</v>
      </c>
      <c r="O7" s="11">
        <v>4.5</v>
      </c>
      <c r="P7" s="12">
        <f>MUN_40[[#This Row],[xPoints Av.]]*MUN_40[[#This Row],[Regularity]]</f>
        <v>1.7377207626746332</v>
      </c>
      <c r="Q7" s="11" t="s">
        <v>12</v>
      </c>
    </row>
    <row r="8" spans="1:17" ht="24" x14ac:dyDescent="0.45">
      <c r="A8" s="13" t="s">
        <v>318</v>
      </c>
      <c r="B8" s="11" t="s">
        <v>64</v>
      </c>
      <c r="C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2.8123424428332404</v>
      </c>
      <c r="D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0.61764705882352944</v>
      </c>
      <c r="E8" s="12">
        <v>0.01</v>
      </c>
      <c r="F8" s="12">
        <v>0.05</v>
      </c>
      <c r="G8" s="12">
        <v>0.15058561070831011</v>
      </c>
      <c r="H8" s="11">
        <v>21</v>
      </c>
      <c r="I8" s="11">
        <v>34</v>
      </c>
      <c r="J8" s="11"/>
      <c r="K8" s="11"/>
      <c r="L8" s="11"/>
      <c r="M8" s="11"/>
      <c r="N8" s="11">
        <v>1</v>
      </c>
      <c r="O8" s="11">
        <v>4.5</v>
      </c>
      <c r="P8" s="12">
        <f>MUN_40[[#This Row],[xPoints Av.]]*MUN_40[[#This Row],[Regularity]]</f>
        <v>1.7370350382205308</v>
      </c>
      <c r="Q8" s="11" t="s">
        <v>12</v>
      </c>
    </row>
    <row r="9" spans="1:17" ht="24" x14ac:dyDescent="0.45">
      <c r="A9" s="11" t="s">
        <v>326</v>
      </c>
      <c r="B9" s="11" t="s">
        <v>84</v>
      </c>
      <c r="C9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</v>
      </c>
      <c r="D9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0.875</v>
      </c>
      <c r="E9" s="12">
        <v>0.63</v>
      </c>
      <c r="F9" s="12">
        <v>0.16</v>
      </c>
      <c r="G9" s="12">
        <v>0.29339853300733498</v>
      </c>
      <c r="H9" s="11">
        <v>28</v>
      </c>
      <c r="I9" s="11">
        <v>32</v>
      </c>
      <c r="J9" s="11"/>
      <c r="K9" s="11"/>
      <c r="L9" s="11"/>
      <c r="M9" s="11"/>
      <c r="N9" s="11">
        <v>1</v>
      </c>
      <c r="O9" s="11">
        <v>10.5</v>
      </c>
      <c r="P9" s="12">
        <f>MUN_40[[#This Row],[xPoints Av.]]*MUN_40[[#This Row],[Regularity]]</f>
        <v>4.375</v>
      </c>
      <c r="Q9" s="11" t="s">
        <v>12</v>
      </c>
    </row>
    <row r="10" spans="1:17" ht="24" x14ac:dyDescent="0.45">
      <c r="A10" s="11" t="s">
        <v>311</v>
      </c>
      <c r="B10" s="11" t="s">
        <v>62</v>
      </c>
      <c r="C10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2.8421052631578947</v>
      </c>
      <c r="D10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10" s="12">
        <v>0</v>
      </c>
      <c r="F10" s="12">
        <v>0</v>
      </c>
      <c r="G10" s="12">
        <v>0.21052631578947367</v>
      </c>
      <c r="H10" s="11">
        <v>38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MUN_40[[#This Row],[xPoints Av.]]*MUN_40[[#This Row],[Regularity]]</f>
        <v>2.8421052631578947</v>
      </c>
      <c r="Q10" s="11" t="s">
        <v>12</v>
      </c>
    </row>
    <row r="11" spans="1:17" ht="24" x14ac:dyDescent="0.45">
      <c r="A11" s="11" t="s">
        <v>319</v>
      </c>
      <c r="B11" s="11" t="s">
        <v>75</v>
      </c>
      <c r="C11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4.3315112540192926</v>
      </c>
      <c r="D11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0.97297297297297303</v>
      </c>
      <c r="E11" s="12">
        <v>0.27</v>
      </c>
      <c r="F11" s="12">
        <v>0.25</v>
      </c>
      <c r="G11" s="12">
        <v>0.23151125401929259</v>
      </c>
      <c r="H11" s="11">
        <v>36</v>
      </c>
      <c r="I11" s="11">
        <v>37</v>
      </c>
      <c r="J11" s="11"/>
      <c r="K11" s="11"/>
      <c r="L11" s="11"/>
      <c r="M11" s="11"/>
      <c r="N11" s="11">
        <v>1</v>
      </c>
      <c r="O11" s="11">
        <v>10</v>
      </c>
      <c r="P11" s="12">
        <f>MUN_40[[#This Row],[xPoints Av.]]*MUN_40[[#This Row],[Regularity]]</f>
        <v>4.2144433822890415</v>
      </c>
      <c r="Q11" s="11" t="s">
        <v>12</v>
      </c>
    </row>
    <row r="12" spans="1:17" ht="24" x14ac:dyDescent="0.45">
      <c r="A12" s="11" t="s">
        <v>321</v>
      </c>
      <c r="B12" s="11" t="s">
        <v>75</v>
      </c>
      <c r="C1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3.8551108764519535</v>
      </c>
      <c r="D1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</v>
      </c>
      <c r="E12" s="12">
        <v>0.2</v>
      </c>
      <c r="F12" s="12">
        <v>0.19</v>
      </c>
      <c r="G12" s="12">
        <v>0.28511087645195354</v>
      </c>
      <c r="H12" s="11">
        <v>21</v>
      </c>
      <c r="I12" s="11">
        <v>35</v>
      </c>
      <c r="J12" s="11"/>
      <c r="K12" s="11"/>
      <c r="L12" s="11"/>
      <c r="M12" s="11"/>
      <c r="N12" s="11">
        <v>1</v>
      </c>
      <c r="O12" s="11">
        <v>7.5</v>
      </c>
      <c r="P12" s="12">
        <f>MUN_40[[#This Row],[xPoints Av.]]*MUN_40[[#This Row],[Regularity]]</f>
        <v>2.313066525871172</v>
      </c>
      <c r="Q12" s="11" t="s">
        <v>12</v>
      </c>
    </row>
    <row r="13" spans="1:17" ht="24" x14ac:dyDescent="0.45">
      <c r="A13" s="11" t="s">
        <v>322</v>
      </c>
      <c r="B13" s="11" t="s">
        <v>75</v>
      </c>
      <c r="C1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2.5317602682313494</v>
      </c>
      <c r="D1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0.87096774193548376</v>
      </c>
      <c r="E13" s="12">
        <v>0.04</v>
      </c>
      <c r="F13" s="12">
        <v>0.01</v>
      </c>
      <c r="G13" s="12">
        <v>0.30176026823134949</v>
      </c>
      <c r="H13" s="11">
        <v>27</v>
      </c>
      <c r="I13" s="11">
        <v>31</v>
      </c>
      <c r="J13" s="11"/>
      <c r="K13" s="11"/>
      <c r="L13" s="11"/>
      <c r="M13" s="11"/>
      <c r="N13" s="11">
        <v>1</v>
      </c>
      <c r="O13" s="11">
        <v>5</v>
      </c>
      <c r="P13" s="12">
        <f>MUN_40[[#This Row],[xPoints Av.]]*MUN_40[[#This Row],[Regularity]]</f>
        <v>2.2050815239434329</v>
      </c>
      <c r="Q13" s="11" t="s">
        <v>12</v>
      </c>
    </row>
    <row r="14" spans="1:17" ht="24" x14ac:dyDescent="0.45">
      <c r="A14" s="11" t="s">
        <v>320</v>
      </c>
      <c r="B14" s="11" t="s">
        <v>75</v>
      </c>
      <c r="C1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2.8609575518262584</v>
      </c>
      <c r="D1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0.74193548387096775</v>
      </c>
      <c r="E14" s="12">
        <v>0.05</v>
      </c>
      <c r="F14" s="12">
        <v>0.1</v>
      </c>
      <c r="G14" s="12">
        <v>0.31095755182625862</v>
      </c>
      <c r="H14" s="11">
        <v>23</v>
      </c>
      <c r="I14" s="11">
        <v>31</v>
      </c>
      <c r="J14" s="11"/>
      <c r="K14" s="11"/>
      <c r="L14" s="11"/>
      <c r="M14" s="11"/>
      <c r="N14" s="11">
        <v>1</v>
      </c>
      <c r="O14" s="11">
        <v>5.5</v>
      </c>
      <c r="P14" s="12">
        <f>MUN_40[[#This Row],[xPoints Av.]]*MUN_40[[#This Row],[Regularity]]</f>
        <v>2.1226459255485142</v>
      </c>
      <c r="Q14" s="11" t="s">
        <v>12</v>
      </c>
    </row>
    <row r="15" spans="1:17" ht="24" x14ac:dyDescent="0.45">
      <c r="A15" s="11" t="s">
        <v>323</v>
      </c>
      <c r="B15" s="11" t="s">
        <v>75</v>
      </c>
      <c r="C1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3.737058823529412</v>
      </c>
      <c r="D1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</v>
      </c>
      <c r="E15" s="12">
        <v>0.21</v>
      </c>
      <c r="F15" s="12">
        <v>0.18</v>
      </c>
      <c r="G15" s="12">
        <v>0.14705882352941177</v>
      </c>
      <c r="H15" s="11">
        <v>13</v>
      </c>
      <c r="I15" s="11">
        <v>26</v>
      </c>
      <c r="J15" s="11"/>
      <c r="K15" s="11"/>
      <c r="L15" s="11"/>
      <c r="M15" s="11"/>
      <c r="N15" s="11">
        <v>1</v>
      </c>
      <c r="O15" s="11">
        <v>6.5</v>
      </c>
      <c r="P15" s="12">
        <f>MUN_40[[#This Row],[xPoints Av.]]*MUN_40[[#This Row],[Regularity]]</f>
        <v>1.868529411764706</v>
      </c>
      <c r="Q15" s="11" t="s">
        <v>12</v>
      </c>
    </row>
    <row r="16" spans="1:17" ht="24" x14ac:dyDescent="0.45">
      <c r="A16" s="14" t="s">
        <v>519</v>
      </c>
      <c r="B16" s="11" t="s">
        <v>75</v>
      </c>
      <c r="C1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5.8500000000000005</v>
      </c>
      <c r="D1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0.2</v>
      </c>
      <c r="E16" s="12">
        <v>0.53</v>
      </c>
      <c r="F16" s="12">
        <v>0.3</v>
      </c>
      <c r="G16" s="12">
        <v>0.3</v>
      </c>
      <c r="H16" s="18">
        <v>6</v>
      </c>
      <c r="I16" s="18">
        <v>30</v>
      </c>
      <c r="J16" s="11"/>
      <c r="K16" s="11"/>
      <c r="L16" s="11"/>
      <c r="M16" s="11"/>
      <c r="N16" s="11">
        <v>1</v>
      </c>
      <c r="O16" s="11">
        <v>5.5</v>
      </c>
      <c r="P16" s="12">
        <f>MUN_40[[#This Row],[xPoints Av.]]*MUN_40[[#This Row],[Regularity]]</f>
        <v>1.1700000000000002</v>
      </c>
      <c r="Q16" s="11" t="s">
        <v>12</v>
      </c>
    </row>
    <row r="17" spans="1:17" ht="24" x14ac:dyDescent="0.45">
      <c r="A17" s="11" t="s">
        <v>324</v>
      </c>
      <c r="B17" s="11" t="s">
        <v>75</v>
      </c>
      <c r="C1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3.8180132450331126</v>
      </c>
      <c r="D1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0.36842105263157893</v>
      </c>
      <c r="E17" s="12">
        <v>0.22</v>
      </c>
      <c r="F17" s="12">
        <v>0.14000000000000001</v>
      </c>
      <c r="G17" s="12">
        <v>0.29801324503311255</v>
      </c>
      <c r="H17" s="11">
        <v>14</v>
      </c>
      <c r="I17" s="11">
        <v>38</v>
      </c>
      <c r="J17" s="11"/>
      <c r="K17" s="11"/>
      <c r="L17" s="11"/>
      <c r="M17" s="11"/>
      <c r="N17" s="11">
        <v>1</v>
      </c>
      <c r="O17" s="11">
        <v>5</v>
      </c>
      <c r="P17" s="12">
        <f>MUN_40[[#This Row],[xPoints Av.]]*MUN_40[[#This Row],[Regularity]]</f>
        <v>1.4066364586964097</v>
      </c>
      <c r="Q17" s="11" t="s">
        <v>12</v>
      </c>
    </row>
    <row r="18" spans="1:17" ht="24" x14ac:dyDescent="0.45">
      <c r="A18" s="11" t="s">
        <v>122</v>
      </c>
      <c r="B18" s="11" t="s">
        <v>75</v>
      </c>
      <c r="C1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4.1637953091684441</v>
      </c>
      <c r="D1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0.66666666666666663</v>
      </c>
      <c r="E18" s="12">
        <v>0.14000000000000001</v>
      </c>
      <c r="F18" s="12">
        <v>0.36</v>
      </c>
      <c r="G18" s="12">
        <f>4/(938/90)</f>
        <v>0.38379530916844351</v>
      </c>
      <c r="H18" s="11">
        <v>10</v>
      </c>
      <c r="I18" s="11">
        <v>15</v>
      </c>
      <c r="J18" s="11"/>
      <c r="K18" s="11"/>
      <c r="L18" s="11"/>
      <c r="M18" s="11"/>
      <c r="N18" s="11">
        <v>1</v>
      </c>
      <c r="O18" s="11">
        <v>5</v>
      </c>
      <c r="P18" s="12">
        <f>MUN_40[[#This Row],[xPoints Av.]]*MUN_40[[#This Row],[Regularity]]</f>
        <v>2.7758635394456292</v>
      </c>
      <c r="Q18" s="11" t="s">
        <v>12</v>
      </c>
    </row>
    <row r="19" spans="1:17" ht="24" x14ac:dyDescent="0.45">
      <c r="C19" s="12"/>
      <c r="D19" s="12"/>
      <c r="F19" s="12"/>
      <c r="J19" s="11"/>
      <c r="K19" s="11"/>
      <c r="L19" s="11"/>
      <c r="M19" s="11"/>
      <c r="P19" s="12"/>
      <c r="Q19" s="11"/>
    </row>
  </sheetData>
  <dataValidations count="1">
    <dataValidation type="list" allowBlank="1" showInputMessage="1" showErrorMessage="1" sqref="B2:B18" xr:uid="{D0A99C46-88A7-4911-BD7D-2AB8936BAF54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08F3-134A-433E-85FD-C898C3C27DE7}">
  <dimension ref="A1:Q20"/>
  <sheetViews>
    <sheetView workbookViewId="0">
      <selection activeCell="O14" sqref="O14"/>
    </sheetView>
  </sheetViews>
  <sheetFormatPr defaultRowHeight="15" x14ac:dyDescent="0.25"/>
  <cols>
    <col min="1" max="1" width="21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335</v>
      </c>
      <c r="B2" s="11" t="s">
        <v>64</v>
      </c>
      <c r="C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3.7065379926858997</v>
      </c>
      <c r="D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0.89655172413793105</v>
      </c>
      <c r="E2" s="12">
        <v>0.04</v>
      </c>
      <c r="F2" s="12">
        <v>0.05</v>
      </c>
      <c r="G2" s="12">
        <v>0.329134498171475</v>
      </c>
      <c r="H2" s="11">
        <v>26</v>
      </c>
      <c r="I2" s="11">
        <v>29</v>
      </c>
      <c r="J2" s="11"/>
      <c r="K2" s="11"/>
      <c r="L2" s="11"/>
      <c r="M2" s="11"/>
      <c r="N2" s="11">
        <v>1</v>
      </c>
      <c r="O2" s="11">
        <v>4.5</v>
      </c>
      <c r="P2" s="12">
        <f>NEW_41[[#This Row],[xPoints Av.]]*NEW_41[[#This Row],[Regularity]]</f>
        <v>3.3231030279252893</v>
      </c>
      <c r="Q2" s="11" t="s">
        <v>16</v>
      </c>
    </row>
    <row r="3" spans="1:17" ht="24" x14ac:dyDescent="0.45">
      <c r="A3" s="11" t="s">
        <v>341</v>
      </c>
      <c r="B3" s="11" t="s">
        <v>64</v>
      </c>
      <c r="C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3.2891608391608393</v>
      </c>
      <c r="D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3" s="12">
        <v>0.05</v>
      </c>
      <c r="F3" s="12">
        <v>0.05</v>
      </c>
      <c r="G3" s="12">
        <f>1/(429/90)</f>
        <v>0.20979020979020979</v>
      </c>
      <c r="H3" s="11">
        <v>4</v>
      </c>
      <c r="I3" s="11">
        <v>4</v>
      </c>
      <c r="J3" s="11"/>
      <c r="K3" s="11"/>
      <c r="L3" s="11"/>
      <c r="M3" s="11"/>
      <c r="N3" s="11">
        <v>1</v>
      </c>
      <c r="O3" s="11">
        <v>5</v>
      </c>
      <c r="P3" s="12">
        <f>NEW_41[[#This Row],[xPoints Av.]]*NEW_41[[#This Row],[Regularity]]</f>
        <v>3.2891608391608393</v>
      </c>
      <c r="Q3" s="11" t="s">
        <v>16</v>
      </c>
    </row>
    <row r="4" spans="1:17" ht="24" x14ac:dyDescent="0.45">
      <c r="A4" s="11" t="s">
        <v>333</v>
      </c>
      <c r="B4" s="11" t="s">
        <v>64</v>
      </c>
      <c r="C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3.5785266457680254</v>
      </c>
      <c r="D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0.84210526315789469</v>
      </c>
      <c r="E4" s="12">
        <v>0.02</v>
      </c>
      <c r="F4" s="12">
        <v>0.11</v>
      </c>
      <c r="G4" s="12">
        <v>0.2821316614420063</v>
      </c>
      <c r="H4" s="11">
        <v>32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NEW_41[[#This Row],[xPoints Av.]]*NEW_41[[#This Row],[Regularity]]</f>
        <v>3.0134961227520214</v>
      </c>
      <c r="Q4" s="11" t="s">
        <v>16</v>
      </c>
    </row>
    <row r="5" spans="1:17" ht="24" x14ac:dyDescent="0.45">
      <c r="A5" s="11" t="s">
        <v>337</v>
      </c>
      <c r="B5" s="11" t="s">
        <v>64</v>
      </c>
      <c r="C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3.360926784059314</v>
      </c>
      <c r="D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0.60526315789473684</v>
      </c>
      <c r="E5" s="12">
        <v>0.03</v>
      </c>
      <c r="F5" s="12">
        <v>0.06</v>
      </c>
      <c r="G5" s="12">
        <v>0.25023169601482853</v>
      </c>
      <c r="H5" s="11">
        <v>23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NEW_41[[#This Row],[xPoints Av.]]*NEW_41[[#This Row],[Regularity]]</f>
        <v>2.0342451587727428</v>
      </c>
      <c r="Q5" s="11" t="s">
        <v>16</v>
      </c>
    </row>
    <row r="6" spans="1:17" ht="24" x14ac:dyDescent="0.45">
      <c r="A6" s="11" t="s">
        <v>339</v>
      </c>
      <c r="B6" s="11" t="s">
        <v>64</v>
      </c>
      <c r="C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2.9155474452554744</v>
      </c>
      <c r="D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0.59459459459459463</v>
      </c>
      <c r="E6" s="12">
        <v>0.06</v>
      </c>
      <c r="F6" s="12">
        <v>0.01</v>
      </c>
      <c r="G6" s="12">
        <v>0.13138686131386862</v>
      </c>
      <c r="H6" s="11">
        <v>22</v>
      </c>
      <c r="I6" s="11">
        <v>37</v>
      </c>
      <c r="J6" s="11"/>
      <c r="K6" s="11"/>
      <c r="L6" s="11"/>
      <c r="M6" s="11"/>
      <c r="N6" s="11">
        <v>1</v>
      </c>
      <c r="O6" s="11">
        <v>4.5</v>
      </c>
      <c r="P6" s="12">
        <f>NEW_41[[#This Row],[xPoints Av.]]*NEW_41[[#This Row],[Regularity]]</f>
        <v>1.7335687512329849</v>
      </c>
      <c r="Q6" s="11" t="s">
        <v>16</v>
      </c>
    </row>
    <row r="7" spans="1:17" ht="24" x14ac:dyDescent="0.45">
      <c r="A7" s="11" t="s">
        <v>338</v>
      </c>
      <c r="B7" s="11" t="s">
        <v>64</v>
      </c>
      <c r="C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3.5602933985330072</v>
      </c>
      <c r="D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0.47368421052631576</v>
      </c>
      <c r="E7" s="12">
        <v>0.01</v>
      </c>
      <c r="F7" s="12">
        <v>0.06</v>
      </c>
      <c r="G7" s="12">
        <v>0.33007334963325186</v>
      </c>
      <c r="H7" s="11">
        <v>18</v>
      </c>
      <c r="I7" s="11">
        <v>38</v>
      </c>
      <c r="J7" s="11"/>
      <c r="K7" s="11"/>
      <c r="L7" s="11"/>
      <c r="M7" s="11"/>
      <c r="N7" s="11">
        <v>1</v>
      </c>
      <c r="O7" s="11">
        <v>4.5</v>
      </c>
      <c r="P7" s="12">
        <f>NEW_41[[#This Row],[xPoints Av.]]*NEW_41[[#This Row],[Regularity]]</f>
        <v>1.6864547677261612</v>
      </c>
      <c r="Q7" s="11" t="s">
        <v>16</v>
      </c>
    </row>
    <row r="8" spans="1:17" ht="24" x14ac:dyDescent="0.45">
      <c r="A8" s="11" t="s">
        <v>340</v>
      </c>
      <c r="B8" s="11" t="s">
        <v>64</v>
      </c>
      <c r="C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2.5561685214626388</v>
      </c>
      <c r="D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0.3611111111111111</v>
      </c>
      <c r="E8" s="12">
        <v>0.03</v>
      </c>
      <c r="F8" s="12">
        <v>0.03</v>
      </c>
      <c r="G8" s="12">
        <v>7.1542130365659776E-2</v>
      </c>
      <c r="H8" s="11">
        <v>13</v>
      </c>
      <c r="I8" s="11">
        <v>36</v>
      </c>
      <c r="J8" s="11"/>
      <c r="K8" s="11"/>
      <c r="L8" s="11"/>
      <c r="M8" s="11"/>
      <c r="N8" s="11">
        <v>1</v>
      </c>
      <c r="O8" s="11">
        <v>4.5</v>
      </c>
      <c r="P8" s="12">
        <f>NEW_41[[#This Row],[xPoints Av.]]*NEW_41[[#This Row],[Regularity]]</f>
        <v>0.92306085497261958</v>
      </c>
      <c r="Q8" s="11" t="s">
        <v>16</v>
      </c>
    </row>
    <row r="9" spans="1:17" ht="24" x14ac:dyDescent="0.45">
      <c r="A9" s="11" t="s">
        <v>354</v>
      </c>
      <c r="B9" s="11" t="s">
        <v>84</v>
      </c>
      <c r="C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3.89</v>
      </c>
      <c r="D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9" s="12">
        <v>0.45</v>
      </c>
      <c r="F9" s="12">
        <v>0.03</v>
      </c>
      <c r="G9" s="12">
        <v>0.19480519480519481</v>
      </c>
      <c r="H9" s="18">
        <v>15</v>
      </c>
      <c r="I9" s="18">
        <v>15</v>
      </c>
      <c r="J9" s="11"/>
      <c r="K9" s="11"/>
      <c r="L9" s="11"/>
      <c r="M9" s="11"/>
      <c r="N9" s="11">
        <v>1</v>
      </c>
      <c r="O9" s="11">
        <v>7.5</v>
      </c>
      <c r="P9" s="12">
        <f>NEW_41[[#This Row],[xPoints Av.]]*NEW_41[[#This Row],[Regularity]]</f>
        <v>3.89</v>
      </c>
      <c r="Q9" s="11" t="s">
        <v>16</v>
      </c>
    </row>
    <row r="10" spans="1:17" ht="24" x14ac:dyDescent="0.45">
      <c r="A10" s="13" t="s">
        <v>522</v>
      </c>
      <c r="B10" s="11" t="s">
        <v>75</v>
      </c>
      <c r="C1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3.698873038516405</v>
      </c>
      <c r="D1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0.88571428571428579</v>
      </c>
      <c r="E10" s="12">
        <v>0.18</v>
      </c>
      <c r="F10" s="12">
        <v>0.17</v>
      </c>
      <c r="G10" s="12">
        <v>0.28887303851640517</v>
      </c>
      <c r="H10" s="11">
        <v>31</v>
      </c>
      <c r="I10" s="11">
        <v>35</v>
      </c>
      <c r="J10" s="11"/>
      <c r="K10" s="11"/>
      <c r="L10" s="11"/>
      <c r="M10" s="11"/>
      <c r="N10" s="11">
        <v>1</v>
      </c>
      <c r="O10" s="11">
        <v>6.5</v>
      </c>
      <c r="P10" s="12">
        <f>NEW_41[[#This Row],[xPoints Av.]]*NEW_41[[#This Row],[Regularity]]</f>
        <v>3.2761446912573877</v>
      </c>
      <c r="Q10" s="11" t="s">
        <v>16</v>
      </c>
    </row>
    <row r="11" spans="1:17" ht="24" x14ac:dyDescent="0.45">
      <c r="A11" s="11" t="s">
        <v>350</v>
      </c>
      <c r="B11" s="11" t="s">
        <v>84</v>
      </c>
      <c r="C11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3.09</v>
      </c>
      <c r="D11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0.83783783783783783</v>
      </c>
      <c r="E11" s="12">
        <v>0.22</v>
      </c>
      <c r="F11" s="12">
        <v>7.0000000000000007E-2</v>
      </c>
      <c r="G11" s="12">
        <v>0.28887303851640517</v>
      </c>
      <c r="H11" s="18">
        <v>31</v>
      </c>
      <c r="I11" s="18">
        <v>37</v>
      </c>
      <c r="J11" s="11"/>
      <c r="K11" s="11"/>
      <c r="L11" s="11"/>
      <c r="M11" s="11"/>
      <c r="N11" s="11">
        <v>1</v>
      </c>
      <c r="O11" s="11">
        <v>6</v>
      </c>
      <c r="P11" s="12">
        <f>NEW_41[[#This Row],[xPoints Av.]]*NEW_41[[#This Row],[Regularity]]</f>
        <v>2.5889189189189188</v>
      </c>
      <c r="Q11" s="11" t="s">
        <v>16</v>
      </c>
    </row>
    <row r="12" spans="1:17" ht="24" x14ac:dyDescent="0.45">
      <c r="A12" s="11" t="s">
        <v>353</v>
      </c>
      <c r="B12" s="11" t="s">
        <v>75</v>
      </c>
      <c r="C1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3.1066718872357089</v>
      </c>
      <c r="D1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0.79411764705882348</v>
      </c>
      <c r="E12" s="12">
        <v>0.13</v>
      </c>
      <c r="F12" s="12">
        <v>7.0000000000000007E-2</v>
      </c>
      <c r="G12" s="12">
        <v>0.24667188723570871</v>
      </c>
      <c r="H12" s="18">
        <v>27</v>
      </c>
      <c r="I12" s="18">
        <v>34</v>
      </c>
      <c r="J12" s="11"/>
      <c r="K12" s="11"/>
      <c r="L12" s="11"/>
      <c r="M12" s="11"/>
      <c r="N12" s="11">
        <v>1</v>
      </c>
      <c r="O12" s="11">
        <v>6</v>
      </c>
      <c r="P12" s="12">
        <f>NEW_41[[#This Row],[xPoints Av.]]*NEW_41[[#This Row],[Regularity]]</f>
        <v>2.4670629692754158</v>
      </c>
      <c r="Q12" s="11" t="s">
        <v>16</v>
      </c>
    </row>
    <row r="13" spans="1:17" ht="24" x14ac:dyDescent="0.45">
      <c r="A13" s="11" t="s">
        <v>328</v>
      </c>
      <c r="B13" s="11" t="s">
        <v>62</v>
      </c>
      <c r="C1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3.2307692307692308</v>
      </c>
      <c r="D1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0.81818181818181823</v>
      </c>
      <c r="E13" s="12">
        <v>0</v>
      </c>
      <c r="F13" s="12">
        <v>0</v>
      </c>
      <c r="G13" s="12">
        <v>0.30769230769230771</v>
      </c>
      <c r="H13" s="11">
        <v>27</v>
      </c>
      <c r="I13" s="11">
        <v>33</v>
      </c>
      <c r="J13" s="11"/>
      <c r="K13" s="11"/>
      <c r="L13" s="11"/>
      <c r="M13" s="11"/>
      <c r="N13" s="11">
        <v>1</v>
      </c>
      <c r="O13" s="11">
        <v>4.5</v>
      </c>
      <c r="P13" s="12">
        <f>NEW_41[[#This Row],[xPoints Av.]]*NEW_41[[#This Row],[Regularity]]</f>
        <v>2.6433566433566438</v>
      </c>
      <c r="Q13" s="11" t="s">
        <v>16</v>
      </c>
    </row>
    <row r="14" spans="1:17" ht="24" x14ac:dyDescent="0.45">
      <c r="A14" s="11" t="s">
        <v>344</v>
      </c>
      <c r="B14" s="11" t="s">
        <v>75</v>
      </c>
      <c r="C1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4.5991755577109599</v>
      </c>
      <c r="D1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0.73333333333333328</v>
      </c>
      <c r="E14" s="12">
        <v>0.36</v>
      </c>
      <c r="F14" s="12">
        <v>0.15</v>
      </c>
      <c r="G14" s="12">
        <f>4/(1031/90)</f>
        <v>0.3491755577109602</v>
      </c>
      <c r="H14" s="11">
        <v>11</v>
      </c>
      <c r="I14" s="11">
        <v>15</v>
      </c>
      <c r="J14" s="11"/>
      <c r="K14" s="11"/>
      <c r="L14" s="11"/>
      <c r="M14" s="11"/>
      <c r="N14" s="11">
        <v>1</v>
      </c>
      <c r="O14" s="11">
        <v>6</v>
      </c>
      <c r="P14" s="12">
        <f>NEW_41[[#This Row],[xPoints Av.]]*NEW_41[[#This Row],[Regularity]]</f>
        <v>3.3727287423213705</v>
      </c>
      <c r="Q14" s="11" t="s">
        <v>16</v>
      </c>
    </row>
    <row r="15" spans="1:17" ht="24" x14ac:dyDescent="0.45">
      <c r="A15" s="11" t="s">
        <v>345</v>
      </c>
      <c r="B15" s="11" t="s">
        <v>75</v>
      </c>
      <c r="C1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2.6225896012115095</v>
      </c>
      <c r="D1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0.84615384615384615</v>
      </c>
      <c r="E15" s="12">
        <v>0.04</v>
      </c>
      <c r="F15" s="12">
        <v>0.05</v>
      </c>
      <c r="G15" s="12">
        <v>0.27258960121150932</v>
      </c>
      <c r="H15" s="11">
        <v>22</v>
      </c>
      <c r="I15" s="11">
        <v>26</v>
      </c>
      <c r="J15" s="11"/>
      <c r="K15" s="11"/>
      <c r="L15" s="11"/>
      <c r="M15" s="11"/>
      <c r="N15" s="11">
        <v>1</v>
      </c>
      <c r="O15" s="11">
        <v>5</v>
      </c>
      <c r="P15" s="12">
        <f>NEW_41[[#This Row],[xPoints Av.]]*NEW_41[[#This Row],[Regularity]]</f>
        <v>2.2191142779482003</v>
      </c>
      <c r="Q15" s="11" t="s">
        <v>16</v>
      </c>
    </row>
    <row r="16" spans="1:17" ht="24" x14ac:dyDescent="0.45">
      <c r="A16" s="11" t="s">
        <v>342</v>
      </c>
      <c r="B16" s="11" t="s">
        <v>75</v>
      </c>
      <c r="C1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3.2150957290132549</v>
      </c>
      <c r="D1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0.66666666666666663</v>
      </c>
      <c r="E16" s="12">
        <v>0.16</v>
      </c>
      <c r="F16" s="12">
        <v>0.05</v>
      </c>
      <c r="G16" s="12">
        <v>0.26509572901325479</v>
      </c>
      <c r="H16" s="11">
        <v>22</v>
      </c>
      <c r="I16" s="11">
        <v>33</v>
      </c>
      <c r="J16" s="11"/>
      <c r="K16" s="11"/>
      <c r="L16" s="11"/>
      <c r="M16" s="11"/>
      <c r="N16" s="11">
        <v>1</v>
      </c>
      <c r="O16" s="11">
        <v>5</v>
      </c>
      <c r="P16" s="12">
        <f>NEW_41[[#This Row],[xPoints Av.]]*NEW_41[[#This Row],[Regularity]]</f>
        <v>2.1433971526755031</v>
      </c>
      <c r="Q16" s="11" t="s">
        <v>16</v>
      </c>
    </row>
    <row r="17" spans="1:17" ht="24" x14ac:dyDescent="0.45">
      <c r="A17" s="11" t="s">
        <v>347</v>
      </c>
      <c r="B17" s="11" t="s">
        <v>75</v>
      </c>
      <c r="C1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2.9165298944900351</v>
      </c>
      <c r="D1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0.52631578947368418</v>
      </c>
      <c r="E17" s="12">
        <v>0.09</v>
      </c>
      <c r="F17" s="12">
        <v>0.05</v>
      </c>
      <c r="G17" s="12">
        <v>0.31652989449003516</v>
      </c>
      <c r="H17" s="11">
        <v>20</v>
      </c>
      <c r="I17" s="11">
        <v>38</v>
      </c>
      <c r="J17" s="11"/>
      <c r="K17" s="11"/>
      <c r="L17" s="11"/>
      <c r="M17" s="11"/>
      <c r="N17" s="11">
        <v>1</v>
      </c>
      <c r="O17" s="11">
        <v>5</v>
      </c>
      <c r="P17" s="12">
        <f>NEW_41[[#This Row],[xPoints Av.]]*NEW_41[[#This Row],[Regularity]]</f>
        <v>1.5350157339421235</v>
      </c>
      <c r="Q17" s="11" t="s">
        <v>16</v>
      </c>
    </row>
    <row r="18" spans="1:17" ht="24" x14ac:dyDescent="0.45">
      <c r="A18" s="11" t="s">
        <v>343</v>
      </c>
      <c r="B18" s="11" t="s">
        <v>75</v>
      </c>
      <c r="C1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3.5484304318026045</v>
      </c>
      <c r="D1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0.42105263157894735</v>
      </c>
      <c r="E18" s="12">
        <v>0.17</v>
      </c>
      <c r="F18" s="12">
        <v>0.13</v>
      </c>
      <c r="G18" s="12">
        <v>0.30843043180260449</v>
      </c>
      <c r="H18" s="11">
        <v>16</v>
      </c>
      <c r="I18" s="11">
        <v>38</v>
      </c>
      <c r="J18" s="11"/>
      <c r="K18" s="11"/>
      <c r="L18" s="11"/>
      <c r="M18" s="11"/>
      <c r="N18" s="11">
        <v>1</v>
      </c>
      <c r="O18" s="11">
        <v>5.5</v>
      </c>
      <c r="P18" s="12">
        <f>NEW_41[[#This Row],[xPoints Av.]]*NEW_41[[#This Row],[Regularity]]</f>
        <v>1.4940759712853071</v>
      </c>
      <c r="Q18" s="11" t="s">
        <v>16</v>
      </c>
    </row>
    <row r="19" spans="1:17" ht="24" x14ac:dyDescent="0.45">
      <c r="A19" s="11" t="s">
        <v>346</v>
      </c>
      <c r="B19" s="11" t="s">
        <v>75</v>
      </c>
      <c r="C1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3.3735415236787922</v>
      </c>
      <c r="D1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19" s="12">
        <v>0.16</v>
      </c>
      <c r="F19" s="12">
        <v>0.15</v>
      </c>
      <c r="G19" s="12">
        <v>0.12354152367879204</v>
      </c>
      <c r="H19" s="11">
        <v>14</v>
      </c>
      <c r="I19" s="11">
        <v>38</v>
      </c>
      <c r="J19" s="11"/>
      <c r="K19" s="11"/>
      <c r="L19" s="11"/>
      <c r="M19" s="11"/>
      <c r="N19" s="11">
        <v>1</v>
      </c>
      <c r="O19" s="11">
        <v>4.5</v>
      </c>
      <c r="P19" s="12">
        <f>NEW_41[[#This Row],[xPoints Av.]]*NEW_41[[#This Row],[Regularity]]</f>
        <v>1.2428837192500812</v>
      </c>
      <c r="Q19" s="11" t="s">
        <v>16</v>
      </c>
    </row>
    <row r="20" spans="1:17" ht="24" x14ac:dyDescent="0.45">
      <c r="A20" s="11" t="s">
        <v>348</v>
      </c>
      <c r="B20" s="11" t="s">
        <v>75</v>
      </c>
      <c r="C2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2.4634567901234568</v>
      </c>
      <c r="D2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20" s="12">
        <v>0.05</v>
      </c>
      <c r="F20" s="12">
        <v>0.03</v>
      </c>
      <c r="G20" s="12">
        <v>0.1234567901234568</v>
      </c>
      <c r="H20" s="11">
        <v>14</v>
      </c>
      <c r="I20" s="11">
        <v>38</v>
      </c>
      <c r="J20" s="11"/>
      <c r="K20" s="11"/>
      <c r="L20" s="11"/>
      <c r="M20" s="11"/>
      <c r="N20" s="11">
        <v>1</v>
      </c>
      <c r="O20" s="11">
        <v>4.5</v>
      </c>
      <c r="P20" s="12">
        <f>NEW_41[[#This Row],[xPoints Av.]]*NEW_41[[#This Row],[Regularity]]</f>
        <v>0.90758934372969458</v>
      </c>
      <c r="Q20" s="11" t="s">
        <v>16</v>
      </c>
    </row>
  </sheetData>
  <dataValidations count="1">
    <dataValidation type="list" allowBlank="1" showInputMessage="1" showErrorMessage="1" sqref="B2:B20" xr:uid="{11577231-19FB-40DF-AA60-E71527128C8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30F9-72DB-46C4-8E32-D5AF12AAB669}">
  <dimension ref="A1:Q16"/>
  <sheetViews>
    <sheetView workbookViewId="0">
      <selection activeCell="O13" sqref="O13"/>
    </sheetView>
  </sheetViews>
  <sheetFormatPr defaultRowHeight="15" x14ac:dyDescent="0.25"/>
  <cols>
    <col min="1" max="1" width="23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360</v>
      </c>
      <c r="B2" s="11" t="s">
        <v>64</v>
      </c>
      <c r="C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3.8054545454545456</v>
      </c>
      <c r="D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</v>
      </c>
      <c r="E2" s="12">
        <v>0.05</v>
      </c>
      <c r="F2" s="12">
        <v>0.12</v>
      </c>
      <c r="G2" s="12">
        <v>0.28636363636363638</v>
      </c>
      <c r="H2" s="11">
        <v>24</v>
      </c>
      <c r="I2" s="11">
        <v>30</v>
      </c>
      <c r="J2" s="11"/>
      <c r="K2" s="11"/>
      <c r="L2" s="11"/>
      <c r="M2" s="11"/>
      <c r="N2" s="11">
        <v>1</v>
      </c>
      <c r="O2" s="11">
        <v>4.5</v>
      </c>
      <c r="P2" s="12">
        <f>SOU_42[[#This Row],[xPoints Av.]]*SOU_42[[#This Row],[Regularity]]</f>
        <v>3.0443636363636366</v>
      </c>
      <c r="Q2" s="11" t="s">
        <v>20</v>
      </c>
    </row>
    <row r="3" spans="1:17" ht="24" x14ac:dyDescent="0.45">
      <c r="A3" s="13" t="s">
        <v>359</v>
      </c>
      <c r="B3" s="11" t="s">
        <v>64</v>
      </c>
      <c r="C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3.451292775665399</v>
      </c>
      <c r="D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0.80555555555555558</v>
      </c>
      <c r="E3" s="12">
        <v>0.05</v>
      </c>
      <c r="F3" s="12">
        <v>0.11</v>
      </c>
      <c r="G3" s="12">
        <v>0.20532319391634982</v>
      </c>
      <c r="H3" s="11">
        <v>29</v>
      </c>
      <c r="I3" s="11">
        <v>36</v>
      </c>
      <c r="J3" s="11"/>
      <c r="K3" s="11"/>
      <c r="L3" s="11"/>
      <c r="M3" s="11"/>
      <c r="N3" s="11">
        <v>1</v>
      </c>
      <c r="O3" s="11">
        <v>4.5</v>
      </c>
      <c r="P3" s="12">
        <f>SOU_42[[#This Row],[xPoints Av.]]*SOU_42[[#This Row],[Regularity]]</f>
        <v>2.780208069286016</v>
      </c>
      <c r="Q3" s="11" t="s">
        <v>20</v>
      </c>
    </row>
    <row r="4" spans="1:17" ht="24" x14ac:dyDescent="0.45">
      <c r="A4" s="11" t="s">
        <v>358</v>
      </c>
      <c r="B4" s="11" t="s">
        <v>64</v>
      </c>
      <c r="C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3.5885393685812099</v>
      </c>
      <c r="D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0.73684210526315785</v>
      </c>
      <c r="E4" s="12">
        <v>0.1</v>
      </c>
      <c r="F4" s="12">
        <v>0.01</v>
      </c>
      <c r="G4" s="12">
        <v>0.2396348421453024</v>
      </c>
      <c r="H4" s="11">
        <v>28</v>
      </c>
      <c r="I4" s="11">
        <v>38</v>
      </c>
      <c r="J4" s="11"/>
      <c r="K4" s="11"/>
      <c r="L4" s="11"/>
      <c r="M4" s="11"/>
      <c r="N4" s="11">
        <v>1</v>
      </c>
      <c r="O4" s="11">
        <v>4.5</v>
      </c>
      <c r="P4" s="12">
        <f>SOU_42[[#This Row],[xPoints Av.]]*SOU_42[[#This Row],[Regularity]]</f>
        <v>2.6441869031651017</v>
      </c>
      <c r="Q4" s="11" t="s">
        <v>20</v>
      </c>
    </row>
    <row r="5" spans="1:17" ht="24" x14ac:dyDescent="0.45">
      <c r="A5" s="11" t="s">
        <v>361</v>
      </c>
      <c r="B5" s="11" t="s">
        <v>64</v>
      </c>
      <c r="C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3.0870279367216424</v>
      </c>
      <c r="D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5" s="12">
        <v>0.05</v>
      </c>
      <c r="F5" s="12">
        <v>0.02</v>
      </c>
      <c r="G5" s="12">
        <v>0.18175698418041061</v>
      </c>
      <c r="H5" s="11">
        <v>32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SOU_42[[#This Row],[xPoints Av.]]*SOU_42[[#This Row],[Regularity]]</f>
        <v>2.5996024730287512</v>
      </c>
      <c r="Q5" s="11" t="s">
        <v>20</v>
      </c>
    </row>
    <row r="6" spans="1:17" ht="24" x14ac:dyDescent="0.45">
      <c r="A6" s="11" t="s">
        <v>362</v>
      </c>
      <c r="B6" s="11" t="s">
        <v>64</v>
      </c>
      <c r="C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2.966255397902529</v>
      </c>
      <c r="D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6" s="12">
        <v>0.04</v>
      </c>
      <c r="F6" s="12">
        <v>0.02</v>
      </c>
      <c r="G6" s="12">
        <v>0.1665638494756323</v>
      </c>
      <c r="H6" s="11">
        <v>17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SOU_42[[#This Row],[xPoints Av.]]*SOU_42[[#This Row],[Regularity]]</f>
        <v>1.3270089937984999</v>
      </c>
      <c r="Q6" s="11" t="s">
        <v>20</v>
      </c>
    </row>
    <row r="7" spans="1:17" ht="24" x14ac:dyDescent="0.45">
      <c r="A7" s="11" t="s">
        <v>372</v>
      </c>
      <c r="B7" s="11" t="s">
        <v>64</v>
      </c>
      <c r="C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2.6373509933774835</v>
      </c>
      <c r="D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0.36</v>
      </c>
      <c r="E7" s="12">
        <v>0.03</v>
      </c>
      <c r="F7" s="12">
        <v>0.02</v>
      </c>
      <c r="G7" s="12">
        <v>9.9337748344370869E-2</v>
      </c>
      <c r="H7" s="18">
        <v>9</v>
      </c>
      <c r="I7" s="18">
        <v>25</v>
      </c>
      <c r="J7" s="11"/>
      <c r="K7" s="11"/>
      <c r="L7" s="11"/>
      <c r="M7" s="11"/>
      <c r="N7" s="11">
        <v>1</v>
      </c>
      <c r="O7" s="11">
        <v>4.5</v>
      </c>
      <c r="P7" s="12">
        <f>SOU_42[[#This Row],[xPoints Av.]]*SOU_42[[#This Row],[Regularity]]</f>
        <v>0.94944635761589402</v>
      </c>
      <c r="Q7" s="11" t="s">
        <v>20</v>
      </c>
    </row>
    <row r="8" spans="1:17" ht="24" x14ac:dyDescent="0.45">
      <c r="A8" s="11" t="s">
        <v>369</v>
      </c>
      <c r="B8" s="11" t="s">
        <v>84</v>
      </c>
      <c r="C8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3.87</v>
      </c>
      <c r="D8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0.57894736842105265</v>
      </c>
      <c r="E8" s="12">
        <v>0.37</v>
      </c>
      <c r="F8" s="12">
        <v>0.13</v>
      </c>
      <c r="G8" s="12">
        <v>0.22123893805309733</v>
      </c>
      <c r="H8" s="11">
        <v>22</v>
      </c>
      <c r="I8" s="11">
        <v>38</v>
      </c>
      <c r="J8" s="11"/>
      <c r="K8" s="11"/>
      <c r="L8" s="11"/>
      <c r="M8" s="11"/>
      <c r="N8" s="11">
        <v>1</v>
      </c>
      <c r="O8" s="11">
        <v>6.5</v>
      </c>
      <c r="P8" s="12">
        <f>SOU_42[[#This Row],[xPoints Av.]]*SOU_42[[#This Row],[Regularity]]</f>
        <v>2.2405263157894737</v>
      </c>
      <c r="Q8" s="11" t="s">
        <v>20</v>
      </c>
    </row>
    <row r="9" spans="1:17" ht="24" x14ac:dyDescent="0.45">
      <c r="A9" s="14" t="s">
        <v>371</v>
      </c>
      <c r="B9" s="11" t="s">
        <v>84</v>
      </c>
      <c r="C9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3.38</v>
      </c>
      <c r="D9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0.39473684210526316</v>
      </c>
      <c r="E9" s="12">
        <v>0.27</v>
      </c>
      <c r="F9" s="12">
        <v>0.1</v>
      </c>
      <c r="G9" s="12">
        <v>0.255500354861604</v>
      </c>
      <c r="H9" s="11">
        <v>15</v>
      </c>
      <c r="I9" s="11">
        <v>38</v>
      </c>
      <c r="J9" s="11"/>
      <c r="K9" s="11"/>
      <c r="L9" s="11"/>
      <c r="M9" s="11"/>
      <c r="N9" s="11">
        <v>1</v>
      </c>
      <c r="O9" s="11">
        <v>5.5</v>
      </c>
      <c r="P9" s="12">
        <f>SOU_42[[#This Row],[xPoints Av.]]*SOU_42[[#This Row],[Regularity]]</f>
        <v>1.3342105263157895</v>
      </c>
      <c r="Q9" s="11" t="s">
        <v>20</v>
      </c>
    </row>
    <row r="10" spans="1:17" ht="24" x14ac:dyDescent="0.45">
      <c r="A10" s="11" t="s">
        <v>357</v>
      </c>
      <c r="B10" s="11" t="s">
        <v>62</v>
      </c>
      <c r="C10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3.1764705882352944</v>
      </c>
      <c r="D10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0" s="12">
        <v>0</v>
      </c>
      <c r="F10" s="12">
        <v>0</v>
      </c>
      <c r="G10" s="12">
        <v>0.29411764705882354</v>
      </c>
      <c r="H10" s="11">
        <v>17</v>
      </c>
      <c r="I10" s="11">
        <v>38</v>
      </c>
      <c r="J10" s="11"/>
      <c r="K10" s="11"/>
      <c r="L10" s="11"/>
      <c r="M10" s="11"/>
      <c r="N10" s="11">
        <v>1</v>
      </c>
      <c r="O10" s="11">
        <v>4.5</v>
      </c>
      <c r="P10" s="12">
        <f>SOU_42[[#This Row],[xPoints Av.]]*SOU_42[[#This Row],[Regularity]]</f>
        <v>1.4210526315789476</v>
      </c>
      <c r="Q10" s="11" t="s">
        <v>20</v>
      </c>
    </row>
    <row r="11" spans="1:17" ht="24" x14ac:dyDescent="0.45">
      <c r="A11" s="13" t="s">
        <v>363</v>
      </c>
      <c r="B11" s="11" t="s">
        <v>75</v>
      </c>
      <c r="C11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3.4359564541213063</v>
      </c>
      <c r="D11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0.94736842105263153</v>
      </c>
      <c r="E11" s="12">
        <v>0.14000000000000001</v>
      </c>
      <c r="F11" s="12">
        <v>0.18</v>
      </c>
      <c r="G11" s="12">
        <v>0.19595645412130638</v>
      </c>
      <c r="H11" s="11">
        <v>36</v>
      </c>
      <c r="I11" s="11">
        <v>38</v>
      </c>
      <c r="J11" s="11"/>
      <c r="K11" s="11"/>
      <c r="L11" s="11"/>
      <c r="M11" s="11"/>
      <c r="N11" s="11">
        <v>1</v>
      </c>
      <c r="O11" s="11">
        <v>6.5</v>
      </c>
      <c r="P11" s="12">
        <f>SOU_42[[#This Row],[xPoints Av.]]*SOU_42[[#This Row],[Regularity]]</f>
        <v>3.2551166407465004</v>
      </c>
      <c r="Q11" s="11" t="s">
        <v>20</v>
      </c>
    </row>
    <row r="12" spans="1:17" ht="24" x14ac:dyDescent="0.45">
      <c r="A12" s="11" t="s">
        <v>365</v>
      </c>
      <c r="B12" s="11" t="s">
        <v>75</v>
      </c>
      <c r="C1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2.7379930795847751</v>
      </c>
      <c r="D1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12" s="12">
        <v>0.05</v>
      </c>
      <c r="F12" s="12">
        <v>0.09</v>
      </c>
      <c r="G12" s="12">
        <v>0.21799307958477507</v>
      </c>
      <c r="H12" s="11">
        <v>32</v>
      </c>
      <c r="I12" s="11">
        <v>38</v>
      </c>
      <c r="J12" s="11"/>
      <c r="K12" s="11"/>
      <c r="L12" s="11"/>
      <c r="M12" s="11"/>
      <c r="N12" s="11">
        <v>1</v>
      </c>
      <c r="O12" s="11">
        <v>5</v>
      </c>
      <c r="P12" s="12">
        <f>SOU_42[[#This Row],[xPoints Av.]]*SOU_42[[#This Row],[Regularity]]</f>
        <v>2.3056783828082317</v>
      </c>
      <c r="Q12" s="11" t="s">
        <v>20</v>
      </c>
    </row>
    <row r="13" spans="1:17" ht="24" x14ac:dyDescent="0.45">
      <c r="A13" s="14" t="s">
        <v>364</v>
      </c>
      <c r="B13" s="11" t="s">
        <v>75</v>
      </c>
      <c r="C1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4.1031142717018145</v>
      </c>
      <c r="D1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0.55263157894736847</v>
      </c>
      <c r="E13" s="12">
        <v>0.28999999999999998</v>
      </c>
      <c r="F13" s="12">
        <v>0.1</v>
      </c>
      <c r="G13" s="12">
        <v>0.35311427170181464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>
        <v>5.5</v>
      </c>
      <c r="P13" s="12">
        <f>SOU_42[[#This Row],[xPoints Av.]]*SOU_42[[#This Row],[Regularity]]</f>
        <v>2.2675105185720557</v>
      </c>
      <c r="Q13" s="11" t="s">
        <v>20</v>
      </c>
    </row>
    <row r="14" spans="1:17" ht="24" x14ac:dyDescent="0.45">
      <c r="A14" s="11" t="s">
        <v>366</v>
      </c>
      <c r="B14" s="11" t="s">
        <v>75</v>
      </c>
      <c r="C1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3.1970443349753697</v>
      </c>
      <c r="D1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</v>
      </c>
      <c r="E14" s="12">
        <v>0.08</v>
      </c>
      <c r="F14" s="12">
        <v>0.2</v>
      </c>
      <c r="G14" s="12">
        <v>0.19704433497536944</v>
      </c>
      <c r="H14" s="11">
        <v>19</v>
      </c>
      <c r="I14" s="11">
        <v>38</v>
      </c>
      <c r="J14" s="11"/>
      <c r="K14" s="11"/>
      <c r="L14" s="11"/>
      <c r="M14" s="11"/>
      <c r="N14" s="11">
        <v>1</v>
      </c>
      <c r="O14" s="11">
        <v>5.5</v>
      </c>
      <c r="P14" s="12">
        <f>SOU_42[[#This Row],[xPoints Av.]]*SOU_42[[#This Row],[Regularity]]</f>
        <v>1.5985221674876848</v>
      </c>
      <c r="Q14" s="11" t="s">
        <v>20</v>
      </c>
    </row>
    <row r="15" spans="1:17" ht="24" x14ac:dyDescent="0.45">
      <c r="A15" s="14" t="s">
        <v>367</v>
      </c>
      <c r="B15" s="11" t="s">
        <v>75</v>
      </c>
      <c r="C1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3.3343003412969283</v>
      </c>
      <c r="D1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0.4375</v>
      </c>
      <c r="E15" s="12">
        <v>0.17</v>
      </c>
      <c r="F15" s="12">
        <v>0.1</v>
      </c>
      <c r="G15" s="12">
        <v>0.18430034129692832</v>
      </c>
      <c r="H15" s="11">
        <v>14</v>
      </c>
      <c r="I15" s="11">
        <v>32</v>
      </c>
      <c r="J15" s="11"/>
      <c r="K15" s="11"/>
      <c r="L15" s="11"/>
      <c r="M15" s="11"/>
      <c r="N15" s="11">
        <v>1</v>
      </c>
      <c r="O15" s="11">
        <v>5</v>
      </c>
      <c r="P15" s="12">
        <f>SOU_42[[#This Row],[xPoints Av.]]*SOU_42[[#This Row],[Regularity]]</f>
        <v>1.4587563993174062</v>
      </c>
      <c r="Q15" s="11" t="s">
        <v>20</v>
      </c>
    </row>
    <row r="16" spans="1:17" ht="24" x14ac:dyDescent="0.45">
      <c r="A16" s="11" t="s">
        <v>368</v>
      </c>
      <c r="B16" s="11" t="s">
        <v>75</v>
      </c>
      <c r="C1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2.5085826771653545</v>
      </c>
      <c r="D1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0.23684210526315788</v>
      </c>
      <c r="E16" s="12">
        <v>0.03</v>
      </c>
      <c r="F16" s="12">
        <v>0.09</v>
      </c>
      <c r="G16" s="12">
        <v>8.8582677165354326E-2</v>
      </c>
      <c r="H16" s="11">
        <v>9</v>
      </c>
      <c r="I16" s="11">
        <v>38</v>
      </c>
      <c r="J16" s="11"/>
      <c r="K16" s="11"/>
      <c r="L16" s="11"/>
      <c r="M16" s="11"/>
      <c r="N16" s="11">
        <v>1</v>
      </c>
      <c r="O16" s="11">
        <v>4.5</v>
      </c>
      <c r="P16" s="12">
        <f>SOU_42[[#This Row],[xPoints Av.]]*SOU_42[[#This Row],[Regularity]]</f>
        <v>0.59413800248653126</v>
      </c>
      <c r="Q16" s="11" t="s">
        <v>20</v>
      </c>
    </row>
  </sheetData>
  <dataValidations count="1">
    <dataValidation type="list" allowBlank="1" showInputMessage="1" showErrorMessage="1" sqref="B2:B16" xr:uid="{A3AF7336-D921-4018-A72B-34E63DD532F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27A-B6B9-440F-B6F8-F18BE42C39AB}">
  <dimension ref="A1:Q23"/>
  <sheetViews>
    <sheetView workbookViewId="0">
      <selection activeCell="O23" sqref="O23"/>
    </sheetView>
  </sheetViews>
  <sheetFormatPr defaultRowHeight="15" x14ac:dyDescent="0.25"/>
  <cols>
    <col min="1" max="1" width="19.85546875" customWidth="1"/>
    <col min="8" max="8" width="11.5703125" bestFit="1" customWidth="1"/>
    <col min="9" max="9" width="11.7109375" bestFit="1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384</v>
      </c>
      <c r="B2" s="11" t="s">
        <v>64</v>
      </c>
      <c r="C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5.0850095602294463</v>
      </c>
      <c r="D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0.84615384615384615</v>
      </c>
      <c r="E2" s="12">
        <v>0.03</v>
      </c>
      <c r="F2" s="12">
        <v>0.28000000000000003</v>
      </c>
      <c r="G2" s="12">
        <v>0.51625239005736134</v>
      </c>
      <c r="H2" s="11">
        <v>11</v>
      </c>
      <c r="I2" s="11">
        <v>13</v>
      </c>
      <c r="J2" s="11"/>
      <c r="K2" s="11"/>
      <c r="L2" s="11"/>
      <c r="M2" s="11"/>
      <c r="N2" s="11">
        <v>1</v>
      </c>
      <c r="O2" s="11">
        <v>4.5</v>
      </c>
      <c r="P2" s="12">
        <f>TOT_43[[#This Row],[xPoints Av.]]*TOT_43[[#This Row],[Regularity]]</f>
        <v>4.3027003971172233</v>
      </c>
      <c r="Q2" s="11" t="s">
        <v>10</v>
      </c>
    </row>
    <row r="3" spans="1:17" ht="24" x14ac:dyDescent="0.45">
      <c r="A3" s="11" t="s">
        <v>378</v>
      </c>
      <c r="B3" s="11" t="s">
        <v>64</v>
      </c>
      <c r="C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4.2956105503093456</v>
      </c>
      <c r="D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3" s="12">
        <v>0.05</v>
      </c>
      <c r="F3" s="12">
        <v>0.04</v>
      </c>
      <c r="G3" s="12">
        <v>0.46890263757733641</v>
      </c>
      <c r="H3" s="11">
        <v>34</v>
      </c>
      <c r="I3" s="11">
        <v>34</v>
      </c>
      <c r="J3" s="11"/>
      <c r="K3" s="11"/>
      <c r="L3" s="11"/>
      <c r="M3" s="11"/>
      <c r="N3" s="11">
        <v>1</v>
      </c>
      <c r="O3" s="11">
        <v>5</v>
      </c>
      <c r="P3" s="12">
        <f>TOT_43[[#This Row],[xPoints Av.]]*TOT_43[[#This Row],[Regularity]]</f>
        <v>4.2956105503093456</v>
      </c>
      <c r="Q3" s="11" t="s">
        <v>10</v>
      </c>
    </row>
    <row r="4" spans="1:17" ht="24" x14ac:dyDescent="0.45">
      <c r="A4" s="11" t="s">
        <v>381</v>
      </c>
      <c r="B4" s="11" t="s">
        <v>64</v>
      </c>
      <c r="C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4.3575635407537252</v>
      </c>
      <c r="D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0.78125</v>
      </c>
      <c r="E4" s="12">
        <v>0.08</v>
      </c>
      <c r="F4" s="12">
        <v>0.1</v>
      </c>
      <c r="G4" s="12">
        <v>0.39439088518843124</v>
      </c>
      <c r="H4" s="11">
        <v>25</v>
      </c>
      <c r="I4" s="11">
        <v>32</v>
      </c>
      <c r="J4" s="11"/>
      <c r="K4" s="11"/>
      <c r="L4" s="11"/>
      <c r="M4" s="11"/>
      <c r="N4" s="11">
        <v>1</v>
      </c>
      <c r="O4" s="11">
        <v>5</v>
      </c>
      <c r="P4" s="12">
        <f>TOT_43[[#This Row],[xPoints Av.]]*TOT_43[[#This Row],[Regularity]]</f>
        <v>3.404346516213848</v>
      </c>
      <c r="Q4" s="11" t="s">
        <v>10</v>
      </c>
    </row>
    <row r="5" spans="1:17" ht="24" x14ac:dyDescent="0.45">
      <c r="A5" s="11" t="s">
        <v>380</v>
      </c>
      <c r="B5" s="11" t="s">
        <v>64</v>
      </c>
      <c r="C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5.0127899686520374</v>
      </c>
      <c r="D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0.65625</v>
      </c>
      <c r="E5" s="12">
        <v>0.14000000000000001</v>
      </c>
      <c r="F5" s="12">
        <v>0.16</v>
      </c>
      <c r="G5" s="12">
        <v>0.42319749216300945</v>
      </c>
      <c r="H5" s="11">
        <v>21</v>
      </c>
      <c r="I5" s="11">
        <v>32</v>
      </c>
      <c r="J5" s="11"/>
      <c r="K5" s="11"/>
      <c r="L5" s="11"/>
      <c r="M5" s="11"/>
      <c r="N5" s="11">
        <v>1</v>
      </c>
      <c r="O5" s="11">
        <v>4.5</v>
      </c>
      <c r="P5" s="12">
        <f>TOT_43[[#This Row],[xPoints Av.]]*TOT_43[[#This Row],[Regularity]]</f>
        <v>3.2896434169278996</v>
      </c>
      <c r="Q5" s="11" t="s">
        <v>10</v>
      </c>
    </row>
    <row r="6" spans="1:17" ht="24" x14ac:dyDescent="0.45">
      <c r="A6" s="11" t="s">
        <v>379</v>
      </c>
      <c r="B6" s="11" t="s">
        <v>64</v>
      </c>
      <c r="C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4.3027985810011824</v>
      </c>
      <c r="D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0.73684210526315785</v>
      </c>
      <c r="E6" s="12">
        <v>0.09</v>
      </c>
      <c r="F6" s="12">
        <v>0.02</v>
      </c>
      <c r="G6" s="12">
        <v>0.42569964525029563</v>
      </c>
      <c r="H6" s="11">
        <v>28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TOT_43[[#This Row],[xPoints Av.]]*TOT_43[[#This Row],[Regularity]]</f>
        <v>3.1704831649482395</v>
      </c>
      <c r="Q6" s="11" t="s">
        <v>10</v>
      </c>
    </row>
    <row r="7" spans="1:17" ht="24" x14ac:dyDescent="0.45">
      <c r="A7" s="11" t="s">
        <v>383</v>
      </c>
      <c r="B7" s="11" t="s">
        <v>64</v>
      </c>
      <c r="C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3.1561388286334058</v>
      </c>
      <c r="D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7" s="12">
        <v>0.02</v>
      </c>
      <c r="F7" s="12">
        <v>0.02</v>
      </c>
      <c r="G7" s="12">
        <v>0.24403470715835143</v>
      </c>
      <c r="H7" s="11">
        <v>20</v>
      </c>
      <c r="I7" s="11">
        <v>20</v>
      </c>
      <c r="J7" s="11"/>
      <c r="K7" s="11"/>
      <c r="L7" s="11"/>
      <c r="M7" s="11"/>
      <c r="N7" s="11">
        <v>1</v>
      </c>
      <c r="O7" s="11">
        <v>5</v>
      </c>
      <c r="P7" s="12">
        <f>TOT_43[[#This Row],[xPoints Av.]]*TOT_43[[#This Row],[Regularity]]</f>
        <v>3.1561388286334058</v>
      </c>
      <c r="Q7" s="11" t="s">
        <v>10</v>
      </c>
    </row>
    <row r="8" spans="1:17" ht="24" x14ac:dyDescent="0.45">
      <c r="A8" s="11" t="s">
        <v>130</v>
      </c>
      <c r="B8" s="11" t="s">
        <v>64</v>
      </c>
      <c r="C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4.9340221402214022</v>
      </c>
      <c r="D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0.47222222222222215</v>
      </c>
      <c r="E8" s="12">
        <v>0.11</v>
      </c>
      <c r="F8" s="12">
        <v>0.02</v>
      </c>
      <c r="G8" s="12">
        <v>0.55350553505535061</v>
      </c>
      <c r="H8" s="11">
        <v>17</v>
      </c>
      <c r="I8" s="11">
        <v>36</v>
      </c>
      <c r="J8" s="11"/>
      <c r="K8" s="11"/>
      <c r="L8" s="11"/>
      <c r="M8" s="11"/>
      <c r="N8" s="11">
        <v>1</v>
      </c>
      <c r="O8" s="11">
        <v>4.5</v>
      </c>
      <c r="P8" s="12">
        <f>TOT_43[[#This Row],[xPoints Av.]]*TOT_43[[#This Row],[Regularity]]</f>
        <v>2.3299548995489952</v>
      </c>
      <c r="Q8" s="11" t="s">
        <v>10</v>
      </c>
    </row>
    <row r="9" spans="1:17" ht="24" x14ac:dyDescent="0.45">
      <c r="A9" s="11" t="s">
        <v>385</v>
      </c>
      <c r="B9" s="11" t="s">
        <v>64</v>
      </c>
      <c r="C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4.8389795918367344</v>
      </c>
      <c r="D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0.3888888888888889</v>
      </c>
      <c r="E9" s="12">
        <v>0.05</v>
      </c>
      <c r="F9" s="12">
        <v>0.03</v>
      </c>
      <c r="G9" s="12">
        <v>0.61224489795918369</v>
      </c>
      <c r="H9" s="11">
        <v>7</v>
      </c>
      <c r="I9" s="11">
        <v>18</v>
      </c>
      <c r="J9" s="11"/>
      <c r="K9" s="11"/>
      <c r="L9" s="11"/>
      <c r="M9" s="11"/>
      <c r="N9" s="11">
        <v>1</v>
      </c>
      <c r="O9" s="11">
        <v>4</v>
      </c>
      <c r="P9" s="12">
        <f>TOT_43[[#This Row],[xPoints Av.]]*TOT_43[[#This Row],[Regularity]]</f>
        <v>1.8818253968253968</v>
      </c>
      <c r="Q9" s="11" t="s">
        <v>10</v>
      </c>
    </row>
    <row r="10" spans="1:17" ht="24" x14ac:dyDescent="0.45">
      <c r="A10" s="11" t="s">
        <v>382</v>
      </c>
      <c r="B10" s="11" t="s">
        <v>64</v>
      </c>
      <c r="C1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5.7899540757749719</v>
      </c>
      <c r="D1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0.2857142857142857</v>
      </c>
      <c r="E10" s="12">
        <v>0.32</v>
      </c>
      <c r="F10" s="12">
        <v>0.21</v>
      </c>
      <c r="G10" s="12">
        <v>0.30998851894374285</v>
      </c>
      <c r="H10" s="11">
        <v>8</v>
      </c>
      <c r="I10" s="11">
        <v>28</v>
      </c>
      <c r="J10" s="11"/>
      <c r="K10" s="11"/>
      <c r="L10" s="11"/>
      <c r="M10" s="11"/>
      <c r="N10" s="11">
        <v>1</v>
      </c>
      <c r="O10" s="11">
        <v>5</v>
      </c>
      <c r="P10" s="12">
        <f>TOT_43[[#This Row],[xPoints Av.]]*TOT_43[[#This Row],[Regularity]]</f>
        <v>1.6542725930785633</v>
      </c>
      <c r="Q10" s="11" t="s">
        <v>10</v>
      </c>
    </row>
    <row r="11" spans="1:17" ht="24" x14ac:dyDescent="0.45">
      <c r="A11" s="11" t="s">
        <v>394</v>
      </c>
      <c r="B11" s="11" t="s">
        <v>84</v>
      </c>
      <c r="C1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5.13</v>
      </c>
      <c r="D1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0.94736842105263153</v>
      </c>
      <c r="E11" s="12">
        <v>0.57999999999999996</v>
      </c>
      <c r="F11" s="12">
        <v>0.27</v>
      </c>
      <c r="G11" s="12">
        <v>0.38997214484679665</v>
      </c>
      <c r="H11" s="18">
        <v>36</v>
      </c>
      <c r="I11" s="18">
        <v>38</v>
      </c>
      <c r="J11" s="11"/>
      <c r="K11" s="11"/>
      <c r="L11" s="11"/>
      <c r="M11" s="11"/>
      <c r="N11" s="11">
        <v>1</v>
      </c>
      <c r="O11" s="23">
        <v>11.5</v>
      </c>
      <c r="P11" s="12">
        <f>TOT_43[[#This Row],[xPoints Av.]]*TOT_43[[#This Row],[Regularity]]</f>
        <v>4.8599999999999994</v>
      </c>
      <c r="Q11" s="11" t="s">
        <v>10</v>
      </c>
    </row>
    <row r="12" spans="1:17" ht="24" x14ac:dyDescent="0.45">
      <c r="A12" s="11" t="s">
        <v>223</v>
      </c>
      <c r="B12" s="11" t="s">
        <v>84</v>
      </c>
      <c r="C1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3.92</v>
      </c>
      <c r="D1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0.96428571428571441</v>
      </c>
      <c r="E12" s="12">
        <v>0.36</v>
      </c>
      <c r="F12" s="12">
        <v>0.16</v>
      </c>
      <c r="G12" s="12">
        <v>0.24980174464710547</v>
      </c>
      <c r="H12" s="18">
        <v>27</v>
      </c>
      <c r="I12" s="18">
        <v>28</v>
      </c>
      <c r="J12" s="11"/>
      <c r="K12" s="11"/>
      <c r="L12" s="11"/>
      <c r="M12" s="11"/>
      <c r="N12" s="11">
        <v>1</v>
      </c>
      <c r="O12" s="11">
        <v>8.5</v>
      </c>
      <c r="P12" s="12">
        <f>TOT_43[[#This Row],[xPoints Av.]]*TOT_43[[#This Row],[Regularity]]</f>
        <v>3.7800000000000002</v>
      </c>
      <c r="Q12" s="11" t="s">
        <v>10</v>
      </c>
    </row>
    <row r="13" spans="1:17" ht="24" x14ac:dyDescent="0.45">
      <c r="A13" s="11" t="s">
        <v>374</v>
      </c>
      <c r="B13" s="11" t="s">
        <v>62</v>
      </c>
      <c r="C1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3.6842105263157894</v>
      </c>
      <c r="D1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3" s="12">
        <v>0</v>
      </c>
      <c r="F13" s="12">
        <v>0.01</v>
      </c>
      <c r="G13" s="12">
        <v>0.42105263157894735</v>
      </c>
      <c r="H13" s="11">
        <v>38</v>
      </c>
      <c r="I13" s="11">
        <v>38</v>
      </c>
      <c r="J13" s="11"/>
      <c r="K13" s="11"/>
      <c r="L13" s="11"/>
      <c r="M13" s="11"/>
      <c r="N13" s="11">
        <v>1</v>
      </c>
      <c r="O13" s="11">
        <v>5.5</v>
      </c>
      <c r="P13" s="12">
        <f>TOT_43[[#This Row],[xPoints Av.]]*TOT_43[[#This Row],[Regularity]]</f>
        <v>3.6842105263157894</v>
      </c>
      <c r="Q13" s="11" t="s">
        <v>10</v>
      </c>
    </row>
    <row r="14" spans="1:17" ht="24" x14ac:dyDescent="0.45">
      <c r="A14" s="11" t="s">
        <v>356</v>
      </c>
      <c r="B14" s="11" t="s">
        <v>62</v>
      </c>
      <c r="C1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2.6315789473684212</v>
      </c>
      <c r="D1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0.54285714285714282</v>
      </c>
      <c r="E14" s="12">
        <v>0</v>
      </c>
      <c r="F14" s="12">
        <v>0</v>
      </c>
      <c r="G14" s="12">
        <v>0.15789473684210525</v>
      </c>
      <c r="H14" s="11">
        <v>19</v>
      </c>
      <c r="I14" s="11">
        <v>35</v>
      </c>
      <c r="J14" s="11"/>
      <c r="K14" s="11"/>
      <c r="L14" s="11"/>
      <c r="M14" s="11"/>
      <c r="N14" s="11">
        <v>1</v>
      </c>
      <c r="O14" s="11">
        <v>4</v>
      </c>
      <c r="P14" s="12">
        <f>TOT_43[[#This Row],[xPoints Av.]]*TOT_43[[#This Row],[Regularity]]</f>
        <v>1.4285714285714286</v>
      </c>
      <c r="Q14" s="11" t="s">
        <v>10</v>
      </c>
    </row>
    <row r="15" spans="1:17" ht="24" x14ac:dyDescent="0.45">
      <c r="A15" s="11" t="s">
        <v>386</v>
      </c>
      <c r="B15" s="11" t="s">
        <v>75</v>
      </c>
      <c r="C1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5.4283848454636097</v>
      </c>
      <c r="D1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5" s="12">
        <v>0.5</v>
      </c>
      <c r="F15" s="12">
        <v>0.13</v>
      </c>
      <c r="G15" s="12">
        <v>0.53838484546360921</v>
      </c>
      <c r="H15" s="11">
        <v>35</v>
      </c>
      <c r="I15" s="11">
        <v>35</v>
      </c>
      <c r="J15" s="11"/>
      <c r="K15" s="11"/>
      <c r="L15" s="11"/>
      <c r="M15" s="11"/>
      <c r="N15" s="11">
        <v>1</v>
      </c>
      <c r="O15" s="11">
        <v>12</v>
      </c>
      <c r="P15" s="12">
        <f>TOT_43[[#This Row],[xPoints Av.]]*TOT_43[[#This Row],[Regularity]]</f>
        <v>5.4283848454636097</v>
      </c>
      <c r="Q15" s="11" t="s">
        <v>10</v>
      </c>
    </row>
    <row r="16" spans="1:17" ht="24" x14ac:dyDescent="0.45">
      <c r="A16" s="11" t="s">
        <v>388</v>
      </c>
      <c r="B16" s="11" t="s">
        <v>75</v>
      </c>
      <c r="C1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4.5633677521842735</v>
      </c>
      <c r="D1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0.83333333333333337</v>
      </c>
      <c r="E16" s="12">
        <v>0.21</v>
      </c>
      <c r="F16" s="12">
        <v>0.28999999999999998</v>
      </c>
      <c r="G16" s="12">
        <v>0.64336775218427322</v>
      </c>
      <c r="H16" s="11">
        <v>15</v>
      </c>
      <c r="I16" s="11">
        <v>18</v>
      </c>
      <c r="J16" s="11"/>
      <c r="K16" s="11"/>
      <c r="L16" s="11"/>
      <c r="M16" s="11"/>
      <c r="N16" s="11">
        <v>1</v>
      </c>
      <c r="O16" s="11">
        <v>8</v>
      </c>
      <c r="P16" s="12">
        <f>TOT_43[[#This Row],[xPoints Av.]]*TOT_43[[#This Row],[Regularity]]</f>
        <v>3.8028064601535614</v>
      </c>
      <c r="Q16" s="11" t="s">
        <v>10</v>
      </c>
    </row>
    <row r="17" spans="1:17" ht="24" x14ac:dyDescent="0.45">
      <c r="A17" s="11" t="s">
        <v>391</v>
      </c>
      <c r="B17" s="11" t="s">
        <v>75</v>
      </c>
      <c r="C1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3.3955882352941176</v>
      </c>
      <c r="D1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0.88235294117647067</v>
      </c>
      <c r="E17" s="12">
        <v>0.04</v>
      </c>
      <c r="F17" s="12">
        <v>0.2</v>
      </c>
      <c r="G17" s="12">
        <v>0.59558823529411764</v>
      </c>
      <c r="H17" s="18">
        <v>15</v>
      </c>
      <c r="I17" s="18">
        <v>17</v>
      </c>
      <c r="J17" s="11"/>
      <c r="K17" s="11"/>
      <c r="L17" s="11"/>
      <c r="M17" s="11"/>
      <c r="N17" s="11">
        <v>1</v>
      </c>
      <c r="O17" s="11">
        <v>5.5</v>
      </c>
      <c r="P17" s="12">
        <f>TOT_43[[#This Row],[xPoints Av.]]*TOT_43[[#This Row],[Regularity]]</f>
        <v>2.9961072664359865</v>
      </c>
      <c r="Q17" s="11" t="s">
        <v>10</v>
      </c>
    </row>
    <row r="18" spans="1:17" ht="24" x14ac:dyDescent="0.45">
      <c r="A18" s="11" t="s">
        <v>387</v>
      </c>
      <c r="B18" s="11" t="s">
        <v>75</v>
      </c>
      <c r="C1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3.0105632040050061</v>
      </c>
      <c r="D1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0.92105263157894735</v>
      </c>
      <c r="E18" s="12">
        <v>7.0000000000000007E-2</v>
      </c>
      <c r="F18" s="12">
        <v>7.0000000000000007E-2</v>
      </c>
      <c r="G18" s="12">
        <v>0.45056320400500621</v>
      </c>
      <c r="H18" s="18">
        <v>35</v>
      </c>
      <c r="I18" s="18">
        <v>38</v>
      </c>
      <c r="J18" s="11"/>
      <c r="K18" s="11"/>
      <c r="L18" s="11"/>
      <c r="M18" s="11"/>
      <c r="N18" s="11">
        <v>1</v>
      </c>
      <c r="O18" s="11">
        <v>5.5</v>
      </c>
      <c r="P18" s="12">
        <f>TOT_43[[#This Row],[xPoints Av.]]*TOT_43[[#This Row],[Regularity]]</f>
        <v>2.772887161583558</v>
      </c>
      <c r="Q18" s="11" t="s">
        <v>10</v>
      </c>
    </row>
    <row r="19" spans="1:17" ht="24" x14ac:dyDescent="0.45">
      <c r="A19" s="11" t="s">
        <v>392</v>
      </c>
      <c r="B19" s="11" t="s">
        <v>75</v>
      </c>
      <c r="C1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2.7849182763744427</v>
      </c>
      <c r="D1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0.77777777777777779</v>
      </c>
      <c r="E19" s="12">
        <v>0.02</v>
      </c>
      <c r="F19" s="12">
        <v>0.05</v>
      </c>
      <c r="G19" s="12">
        <v>0.53491827637444278</v>
      </c>
      <c r="H19" s="18">
        <v>14</v>
      </c>
      <c r="I19" s="18">
        <v>18</v>
      </c>
      <c r="J19" s="11"/>
      <c r="K19" s="11"/>
      <c r="L19" s="11"/>
      <c r="M19" s="11"/>
      <c r="N19" s="11">
        <v>1</v>
      </c>
      <c r="O19" s="11">
        <v>4.5</v>
      </c>
      <c r="P19" s="12">
        <f>TOT_43[[#This Row],[xPoints Av.]]*TOT_43[[#This Row],[Regularity]]</f>
        <v>2.1660475482912331</v>
      </c>
      <c r="Q19" s="11" t="s">
        <v>10</v>
      </c>
    </row>
    <row r="20" spans="1:17" ht="24" x14ac:dyDescent="0.45">
      <c r="A20" s="11" t="s">
        <v>389</v>
      </c>
      <c r="B20" s="11" t="s">
        <v>75</v>
      </c>
      <c r="C2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4.068394781622235</v>
      </c>
      <c r="D2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0.51515151515151514</v>
      </c>
      <c r="E20" s="12">
        <v>0.17</v>
      </c>
      <c r="F20" s="12">
        <v>0.27</v>
      </c>
      <c r="G20" s="12">
        <v>0.40839478162223486</v>
      </c>
      <c r="H20" s="11">
        <v>17</v>
      </c>
      <c r="I20" s="11">
        <v>33</v>
      </c>
      <c r="J20" s="11"/>
      <c r="K20" s="11"/>
      <c r="L20" s="11"/>
      <c r="M20" s="11"/>
      <c r="N20" s="11">
        <v>1</v>
      </c>
      <c r="O20" s="11">
        <v>6</v>
      </c>
      <c r="P20" s="12">
        <f>TOT_43[[#This Row],[xPoints Av.]]*TOT_43[[#This Row],[Regularity]]</f>
        <v>2.0958397359872118</v>
      </c>
      <c r="Q20" s="11" t="s">
        <v>10</v>
      </c>
    </row>
    <row r="21" spans="1:17" ht="24" x14ac:dyDescent="0.45">
      <c r="A21" s="11" t="s">
        <v>390</v>
      </c>
      <c r="B21" s="11" t="s">
        <v>75</v>
      </c>
      <c r="C2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6.2027007299270078</v>
      </c>
      <c r="D2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0.15384615384615385</v>
      </c>
      <c r="E21" s="12">
        <v>0.57999999999999996</v>
      </c>
      <c r="F21" s="12">
        <v>0.27</v>
      </c>
      <c r="G21" s="12">
        <v>0.49270072992700731</v>
      </c>
      <c r="H21" s="11">
        <v>4</v>
      </c>
      <c r="I21" s="11">
        <v>26</v>
      </c>
      <c r="J21" s="11"/>
      <c r="K21" s="11"/>
      <c r="L21" s="11"/>
      <c r="M21" s="11"/>
      <c r="N21" s="11">
        <v>1</v>
      </c>
      <c r="O21" s="11">
        <v>5.5</v>
      </c>
      <c r="P21" s="12">
        <f>TOT_43[[#This Row],[xPoints Av.]]*TOT_43[[#This Row],[Regularity]]</f>
        <v>0.95426165075800129</v>
      </c>
      <c r="Q21" s="11" t="s">
        <v>10</v>
      </c>
    </row>
    <row r="22" spans="1:17" ht="24" x14ac:dyDescent="0.45">
      <c r="A22" s="11" t="s">
        <v>393</v>
      </c>
      <c r="B22" s="11" t="s">
        <v>75</v>
      </c>
      <c r="C2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2.5995575221238938</v>
      </c>
      <c r="D2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0.21052631578947367</v>
      </c>
      <c r="E22" s="12">
        <v>0.01</v>
      </c>
      <c r="F22" s="12">
        <v>0.15</v>
      </c>
      <c r="G22" s="12">
        <v>9.9557522123893807E-2</v>
      </c>
      <c r="H22" s="18">
        <v>8</v>
      </c>
      <c r="I22" s="18">
        <v>38</v>
      </c>
      <c r="J22" s="11"/>
      <c r="K22" s="11"/>
      <c r="L22" s="11"/>
      <c r="M22" s="11"/>
      <c r="N22" s="11">
        <v>1</v>
      </c>
      <c r="O22" s="11">
        <v>4.5</v>
      </c>
      <c r="P22" s="12">
        <f>TOT_43[[#This Row],[xPoints Av.]]*TOT_43[[#This Row],[Regularity]]</f>
        <v>0.54727526781555658</v>
      </c>
      <c r="Q22" s="11" t="s">
        <v>10</v>
      </c>
    </row>
    <row r="23" spans="1:17" ht="24" x14ac:dyDescent="0.45">
      <c r="A23" s="11" t="s">
        <v>140</v>
      </c>
      <c r="B23" s="11" t="s">
        <v>75</v>
      </c>
      <c r="C2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2.6185781990521328</v>
      </c>
      <c r="D2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0.67647058823529416</v>
      </c>
      <c r="E23" s="12">
        <v>0.04</v>
      </c>
      <c r="F23" s="12">
        <v>0.04</v>
      </c>
      <c r="G23" s="12">
        <f>7/(2110/90)</f>
        <v>0.29857819905213273</v>
      </c>
      <c r="H23" s="18">
        <v>23</v>
      </c>
      <c r="I23" s="18">
        <v>34</v>
      </c>
      <c r="J23" s="11"/>
      <c r="K23" s="11"/>
      <c r="L23" s="11"/>
      <c r="M23" s="11"/>
      <c r="N23" s="11">
        <v>1</v>
      </c>
      <c r="O23" s="11">
        <v>5</v>
      </c>
      <c r="P23" s="12">
        <f>TOT_43[[#This Row],[xPoints Av.]]*TOT_43[[#This Row],[Regularity]]</f>
        <v>1.7713911346529134</v>
      </c>
      <c r="Q23" s="11" t="s">
        <v>10</v>
      </c>
    </row>
  </sheetData>
  <dataValidations count="1">
    <dataValidation type="list" allowBlank="1" showInputMessage="1" showErrorMessage="1" sqref="B2:B23" xr:uid="{DEADBF51-8C61-42EC-88F7-59652716622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83A-B853-4618-ADC1-5A91E6648AF2}">
  <dimension ref="A1:Q21"/>
  <sheetViews>
    <sheetView workbookViewId="0">
      <selection activeCell="O20" sqref="O20"/>
    </sheetView>
  </sheetViews>
  <sheetFormatPr defaultRowHeight="15" x14ac:dyDescent="0.25"/>
  <cols>
    <col min="1" max="1" width="2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74</v>
      </c>
      <c r="B2" s="11" t="s">
        <v>75</v>
      </c>
      <c r="C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4.4728811282740093</v>
      </c>
      <c r="D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0.89473684210526316</v>
      </c>
      <c r="E2" s="12">
        <v>0.28999999999999998</v>
      </c>
      <c r="F2" s="12">
        <v>0.21</v>
      </c>
      <c r="G2" s="12">
        <f>13/(2978/90)</f>
        <v>0.39288112827400939</v>
      </c>
      <c r="H2" s="11">
        <v>34</v>
      </c>
      <c r="I2" s="11">
        <v>38</v>
      </c>
      <c r="J2" s="11"/>
      <c r="K2" s="11"/>
      <c r="L2" s="11"/>
      <c r="M2" s="11"/>
      <c r="N2" s="11">
        <v>1</v>
      </c>
      <c r="O2" s="11">
        <v>8</v>
      </c>
      <c r="P2" s="12">
        <f>ARS_26[[#This Row],[xPoints Av.]]*ARS_26[[#This Row],[Regularity]]</f>
        <v>4.0020515358241138</v>
      </c>
      <c r="Q2" s="11" t="s">
        <v>11</v>
      </c>
    </row>
    <row r="3" spans="1:17" ht="24" x14ac:dyDescent="0.45">
      <c r="A3" s="11" t="s">
        <v>69</v>
      </c>
      <c r="B3" s="11" t="s">
        <v>64</v>
      </c>
      <c r="C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4.5168058455114828</v>
      </c>
      <c r="D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0.87999999999999989</v>
      </c>
      <c r="E3" s="12">
        <v>0.03</v>
      </c>
      <c r="F3" s="12">
        <v>0.09</v>
      </c>
      <c r="G3" s="12">
        <f>11/(1916/90)</f>
        <v>0.51670146137787054</v>
      </c>
      <c r="H3" s="11">
        <v>22</v>
      </c>
      <c r="I3" s="11">
        <v>25</v>
      </c>
      <c r="J3" s="11"/>
      <c r="K3" s="11"/>
      <c r="L3" s="11"/>
      <c r="M3" s="11"/>
      <c r="N3" s="11">
        <v>1</v>
      </c>
      <c r="O3" s="11">
        <v>5</v>
      </c>
      <c r="P3" s="12">
        <f>ARS_26[[#This Row],[xPoints Av.]]*ARS_26[[#This Row],[Regularity]]</f>
        <v>3.9747891440501042</v>
      </c>
      <c r="Q3" s="11" t="s">
        <v>11</v>
      </c>
    </row>
    <row r="4" spans="1:17" ht="24" x14ac:dyDescent="0.45">
      <c r="A4" s="11" t="s">
        <v>63</v>
      </c>
      <c r="B4" s="11" t="s">
        <v>64</v>
      </c>
      <c r="C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4.0679138099902055</v>
      </c>
      <c r="D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0.92105263157894735</v>
      </c>
      <c r="E4" s="12">
        <v>0.08</v>
      </c>
      <c r="F4" s="12">
        <v>0.02</v>
      </c>
      <c r="G4" s="12">
        <f>13/(3063/90)</f>
        <v>0.38197845249755147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ARS_26[[#This Row],[xPoints Av.]]*ARS_26[[#This Row],[Regularity]]</f>
        <v>3.7467627197278208</v>
      </c>
      <c r="Q4" s="11" t="s">
        <v>11</v>
      </c>
    </row>
    <row r="5" spans="1:17" ht="24" x14ac:dyDescent="0.45">
      <c r="A5" s="11" t="s">
        <v>76</v>
      </c>
      <c r="B5" s="11" t="s">
        <v>75</v>
      </c>
      <c r="C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3.8158590941768509</v>
      </c>
      <c r="D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0.88888888888888895</v>
      </c>
      <c r="E5" s="12">
        <v>0.16</v>
      </c>
      <c r="F5" s="12">
        <v>0.22</v>
      </c>
      <c r="G5" s="12">
        <f>11/(2782/90)</f>
        <v>0.35585909417685119</v>
      </c>
      <c r="H5" s="11">
        <v>32</v>
      </c>
      <c r="I5" s="11">
        <v>36</v>
      </c>
      <c r="J5" s="11"/>
      <c r="K5" s="11"/>
      <c r="L5" s="11"/>
      <c r="M5" s="11"/>
      <c r="N5" s="11">
        <v>1</v>
      </c>
      <c r="O5" s="11">
        <v>6.5</v>
      </c>
      <c r="P5" s="12">
        <f>ARS_26[[#This Row],[xPoints Av.]]*ARS_26[[#This Row],[Regularity]]</f>
        <v>3.3918747503794231</v>
      </c>
      <c r="Q5" s="11" t="s">
        <v>11</v>
      </c>
    </row>
    <row r="6" spans="1:17" ht="24" x14ac:dyDescent="0.45">
      <c r="A6" s="11" t="s">
        <v>68</v>
      </c>
      <c r="B6" s="11" t="s">
        <v>64</v>
      </c>
      <c r="C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3.8650000000000002</v>
      </c>
      <c r="D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0.86842105263157898</v>
      </c>
      <c r="E6" s="12">
        <v>0.03</v>
      </c>
      <c r="F6" s="12">
        <v>0.02</v>
      </c>
      <c r="G6" s="12">
        <f>13/(2880/90)</f>
        <v>0.40625</v>
      </c>
      <c r="H6" s="11">
        <v>33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ARS_26[[#This Row],[xPoints Av.]]*ARS_26[[#This Row],[Regularity]]</f>
        <v>3.356447368421053</v>
      </c>
      <c r="Q6" s="11" t="s">
        <v>11</v>
      </c>
    </row>
    <row r="7" spans="1:17" ht="24" x14ac:dyDescent="0.45">
      <c r="A7" s="11" t="s">
        <v>61</v>
      </c>
      <c r="B7" s="11" t="s">
        <v>62</v>
      </c>
      <c r="C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3.4117647058823533</v>
      </c>
      <c r="D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0.91891891891891897</v>
      </c>
      <c r="E7" s="12">
        <v>0</v>
      </c>
      <c r="F7" s="12">
        <v>0</v>
      </c>
      <c r="G7" s="12">
        <f>12/(3060/90)</f>
        <v>0.35294117647058826</v>
      </c>
      <c r="H7" s="11">
        <v>34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ARS_26[[#This Row],[xPoints Av.]]*ARS_26[[#This Row],[Regularity]]</f>
        <v>3.1351351351351355</v>
      </c>
      <c r="Q7" s="11" t="s">
        <v>11</v>
      </c>
    </row>
    <row r="8" spans="1:17" ht="24" x14ac:dyDescent="0.45">
      <c r="A8" s="11" t="s">
        <v>79</v>
      </c>
      <c r="B8" s="11" t="s">
        <v>75</v>
      </c>
      <c r="C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3.1740059200789341</v>
      </c>
      <c r="D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</v>
      </c>
      <c r="E8" s="12">
        <v>0.11</v>
      </c>
      <c r="F8" s="12">
        <v>0.06</v>
      </c>
      <c r="G8" s="12">
        <f>10/(2027/90)</f>
        <v>0.44400592007893441</v>
      </c>
      <c r="H8" s="11">
        <v>23</v>
      </c>
      <c r="I8" s="11">
        <v>25</v>
      </c>
      <c r="J8" s="11"/>
      <c r="K8" s="11"/>
      <c r="L8" s="11"/>
      <c r="M8" s="11"/>
      <c r="N8" s="11">
        <v>1</v>
      </c>
      <c r="O8" s="11">
        <v>5</v>
      </c>
      <c r="P8" s="12">
        <f>ARS_26[[#This Row],[xPoints Av.]]*ARS_26[[#This Row],[Regularity]]</f>
        <v>2.9200854464726196</v>
      </c>
      <c r="Q8" s="11" t="s">
        <v>11</v>
      </c>
    </row>
    <row r="9" spans="1:17" ht="24" x14ac:dyDescent="0.45">
      <c r="A9" s="11" t="s">
        <v>70</v>
      </c>
      <c r="B9" s="11" t="s">
        <v>64</v>
      </c>
      <c r="C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4.258571428571428</v>
      </c>
      <c r="D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0.65517241379310343</v>
      </c>
      <c r="E9" s="12">
        <v>0.04</v>
      </c>
      <c r="F9" s="12">
        <v>0.03</v>
      </c>
      <c r="G9" s="12">
        <f>9/(1680/90)</f>
        <v>0.4821428571428571</v>
      </c>
      <c r="H9" s="11">
        <v>19</v>
      </c>
      <c r="I9" s="11">
        <v>29</v>
      </c>
      <c r="J9" s="11"/>
      <c r="K9" s="11"/>
      <c r="L9" s="11"/>
      <c r="M9" s="11"/>
      <c r="N9" s="11">
        <v>1</v>
      </c>
      <c r="O9" s="11">
        <v>4.5</v>
      </c>
      <c r="P9" s="12">
        <f>ARS_26[[#This Row],[xPoints Av.]]*ARS_26[[#This Row],[Regularity]]</f>
        <v>2.7900985221674874</v>
      </c>
      <c r="Q9" s="11" t="s">
        <v>11</v>
      </c>
    </row>
    <row r="10" spans="1:17" ht="24" x14ac:dyDescent="0.45">
      <c r="A10" s="11" t="s">
        <v>78</v>
      </c>
      <c r="B10" s="11" t="s">
        <v>75</v>
      </c>
      <c r="C1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4.5696226415094339</v>
      </c>
      <c r="D1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0.55263157894736847</v>
      </c>
      <c r="E10" s="12">
        <v>0.35</v>
      </c>
      <c r="F10" s="12">
        <v>0.16</v>
      </c>
      <c r="G10" s="12">
        <f>7/(1855/90)</f>
        <v>0.33962264150943394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6</v>
      </c>
      <c r="P10" s="12">
        <f>ARS_26[[#This Row],[xPoints Av.]]*ARS_26[[#This Row],[Regularity]]</f>
        <v>2.5253177755710032</v>
      </c>
      <c r="Q10" s="11" t="s">
        <v>11</v>
      </c>
    </row>
    <row r="11" spans="1:17" ht="24" x14ac:dyDescent="0.45">
      <c r="A11" s="11" t="s">
        <v>80</v>
      </c>
      <c r="B11" s="11" t="s">
        <v>75</v>
      </c>
      <c r="C11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2.7520584443489473</v>
      </c>
      <c r="D11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0.86666666666666681</v>
      </c>
      <c r="E11" s="12">
        <v>0.05</v>
      </c>
      <c r="F11" s="12">
        <v>0.09</v>
      </c>
      <c r="G11" s="12">
        <f>6/(2327/90)</f>
        <v>0.23205844434894715</v>
      </c>
      <c r="H11" s="11">
        <v>26</v>
      </c>
      <c r="I11" s="11">
        <v>30</v>
      </c>
      <c r="J11" s="11"/>
      <c r="K11" s="11"/>
      <c r="L11" s="11"/>
      <c r="M11" s="11"/>
      <c r="N11" s="11">
        <v>1</v>
      </c>
      <c r="O11" s="11">
        <v>5</v>
      </c>
      <c r="P11" s="12">
        <f>ARS_26[[#This Row],[xPoints Av.]]*ARS_26[[#This Row],[Regularity]]</f>
        <v>2.3851173184357548</v>
      </c>
      <c r="Q11" s="11" t="s">
        <v>11</v>
      </c>
    </row>
    <row r="12" spans="1:17" ht="24" x14ac:dyDescent="0.45">
      <c r="A12" s="14" t="s">
        <v>77</v>
      </c>
      <c r="B12" s="11" t="s">
        <v>75</v>
      </c>
      <c r="C1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4.0271608171817705</v>
      </c>
      <c r="D1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12" s="12">
        <v>0.27</v>
      </c>
      <c r="F12" s="12">
        <v>0.1</v>
      </c>
      <c r="G12" s="12">
        <f>8/(1909/90)</f>
        <v>0.37716081718177052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6</v>
      </c>
      <c r="P12" s="12">
        <f>ARS_26[[#This Row],[xPoints Av.]]*ARS_26[[#This Row],[Regularity]]</f>
        <v>2.1195583248325107</v>
      </c>
      <c r="Q12" s="11" t="s">
        <v>11</v>
      </c>
    </row>
    <row r="13" spans="1:17" ht="24" x14ac:dyDescent="0.45">
      <c r="A13" s="11" t="s">
        <v>72</v>
      </c>
      <c r="B13" s="11" t="s">
        <v>64</v>
      </c>
      <c r="C1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3.1792370020256584</v>
      </c>
      <c r="D1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0.39473684210526316</v>
      </c>
      <c r="E13" s="12">
        <v>0.03</v>
      </c>
      <c r="F13" s="12">
        <v>0.09</v>
      </c>
      <c r="G13" s="12">
        <f>3/(1481/90)</f>
        <v>0.18230925050641458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4.5</v>
      </c>
      <c r="P13" s="12">
        <f>ARS_26[[#This Row],[xPoints Av.]]*ARS_26[[#This Row],[Regularity]]</f>
        <v>1.2549619744838125</v>
      </c>
      <c r="Q13" s="11" t="s">
        <v>11</v>
      </c>
    </row>
    <row r="14" spans="1:17" ht="24" x14ac:dyDescent="0.45">
      <c r="A14" s="11" t="s">
        <v>71</v>
      </c>
      <c r="B14" s="11" t="s">
        <v>64</v>
      </c>
      <c r="C1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3.8238665526090676</v>
      </c>
      <c r="D1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0.26315789473684209</v>
      </c>
      <c r="E14" s="12">
        <v>0.11</v>
      </c>
      <c r="F14" s="12">
        <v>0.08</v>
      </c>
      <c r="G14" s="12">
        <f>3/(1169/90)</f>
        <v>0.2309666381522669</v>
      </c>
      <c r="H14" s="11">
        <v>10</v>
      </c>
      <c r="I14" s="11">
        <v>38</v>
      </c>
      <c r="J14" s="11"/>
      <c r="K14" s="11"/>
      <c r="L14" s="11"/>
      <c r="M14" s="11"/>
      <c r="N14" s="11">
        <v>1</v>
      </c>
      <c r="O14" s="11">
        <v>4.5</v>
      </c>
      <c r="P14" s="12">
        <f>ARS_26[[#This Row],[xPoints Av.]]*ARS_26[[#This Row],[Regularity]]</f>
        <v>1.0062806717392283</v>
      </c>
      <c r="Q14" s="11" t="s">
        <v>11</v>
      </c>
    </row>
    <row r="15" spans="1:17" ht="24" x14ac:dyDescent="0.45">
      <c r="A15" s="11" t="s">
        <v>85</v>
      </c>
      <c r="B15" s="11" t="s">
        <v>84</v>
      </c>
      <c r="C1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4.4800000000000004</v>
      </c>
      <c r="D1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5" s="12">
        <v>0.5</v>
      </c>
      <c r="F15" s="12">
        <v>0.16</v>
      </c>
      <c r="G15" s="12">
        <f>0/(823/90)</f>
        <v>0</v>
      </c>
      <c r="H15" s="11">
        <v>8</v>
      </c>
      <c r="I15" s="11">
        <v>38</v>
      </c>
      <c r="J15" s="11"/>
      <c r="K15" s="11"/>
      <c r="L15" s="11"/>
      <c r="M15" s="11"/>
      <c r="N15" s="11">
        <v>1</v>
      </c>
      <c r="O15" s="11">
        <v>7</v>
      </c>
      <c r="P15" s="12">
        <f>ARS_26[[#This Row],[xPoints Av.]]*ARS_26[[#This Row],[Regularity]]</f>
        <v>0.9431578947368422</v>
      </c>
      <c r="Q15" s="11" t="s">
        <v>11</v>
      </c>
    </row>
    <row r="16" spans="1:17" ht="24" x14ac:dyDescent="0.45">
      <c r="A16" s="13" t="s">
        <v>81</v>
      </c>
      <c r="B16" s="11" t="s">
        <v>75</v>
      </c>
      <c r="C1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2.9880159433126661</v>
      </c>
      <c r="D1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0.30555555555555558</v>
      </c>
      <c r="E16" s="12">
        <v>0.05</v>
      </c>
      <c r="F16" s="12">
        <v>0.06</v>
      </c>
      <c r="G16" s="12">
        <f>7/(1129/90)</f>
        <v>0.55801594331266613</v>
      </c>
      <c r="H16" s="11">
        <v>11</v>
      </c>
      <c r="I16" s="11">
        <v>36</v>
      </c>
      <c r="J16" s="11"/>
      <c r="K16" s="11"/>
      <c r="L16" s="11"/>
      <c r="M16" s="11"/>
      <c r="N16" s="11">
        <v>1</v>
      </c>
      <c r="O16" s="11">
        <v>4.5</v>
      </c>
      <c r="P16" s="12">
        <f>ARS_26[[#This Row],[xPoints Av.]]*ARS_26[[#This Row],[Regularity]]</f>
        <v>0.91300487156775911</v>
      </c>
      <c r="Q16" s="11" t="s">
        <v>11</v>
      </c>
    </row>
    <row r="17" spans="1:17" ht="24" x14ac:dyDescent="0.45">
      <c r="A17" s="11" t="s">
        <v>73</v>
      </c>
      <c r="B17" s="11" t="s">
        <v>64</v>
      </c>
      <c r="C1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3.0371428571428574</v>
      </c>
      <c r="D1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7" s="12">
        <v>0.03</v>
      </c>
      <c r="F17" s="12">
        <v>0</v>
      </c>
      <c r="G17" s="12">
        <f>2/(840/90)</f>
        <v>0.21428571428571427</v>
      </c>
      <c r="H17" s="11">
        <v>8</v>
      </c>
      <c r="I17" s="11">
        <v>38</v>
      </c>
      <c r="J17" s="11"/>
      <c r="K17" s="11"/>
      <c r="L17" s="11"/>
      <c r="M17" s="11"/>
      <c r="N17" s="11">
        <v>1</v>
      </c>
      <c r="O17" s="11">
        <v>4.5</v>
      </c>
      <c r="P17" s="12">
        <f>ARS_26[[#This Row],[xPoints Av.]]*ARS_26[[#This Row],[Regularity]]</f>
        <v>0.63939849624060152</v>
      </c>
      <c r="Q17" s="11" t="s">
        <v>11</v>
      </c>
    </row>
    <row r="18" spans="1:17" ht="24" x14ac:dyDescent="0.45">
      <c r="A18" s="11" t="s">
        <v>83</v>
      </c>
      <c r="B18" s="11" t="s">
        <v>75</v>
      </c>
      <c r="C1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4.82431718061674</v>
      </c>
      <c r="D1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0.13157894736842105</v>
      </c>
      <c r="E18" s="12">
        <v>0.38</v>
      </c>
      <c r="F18" s="12">
        <v>0.22</v>
      </c>
      <c r="G18" s="12">
        <f>2/(681/90)</f>
        <v>0.26431718061674009</v>
      </c>
      <c r="H18" s="11">
        <v>5</v>
      </c>
      <c r="I18" s="11">
        <v>38</v>
      </c>
      <c r="J18" s="11"/>
      <c r="K18" s="11"/>
      <c r="L18" s="11"/>
      <c r="M18" s="11"/>
      <c r="N18" s="11">
        <v>1</v>
      </c>
      <c r="O18" s="11">
        <v>5.5</v>
      </c>
      <c r="P18" s="12">
        <f>ARS_26[[#This Row],[xPoints Av.]]*ARS_26[[#This Row],[Regularity]]</f>
        <v>0.63477857639693946</v>
      </c>
      <c r="Q18" s="11" t="s">
        <v>11</v>
      </c>
    </row>
    <row r="19" spans="1:17" ht="24" x14ac:dyDescent="0.45">
      <c r="A19" s="11" t="s">
        <v>82</v>
      </c>
      <c r="B19" s="11" t="s">
        <v>75</v>
      </c>
      <c r="C1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2.2800000000000002</v>
      </c>
      <c r="D1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9" s="12">
        <v>0.02</v>
      </c>
      <c r="F19" s="12">
        <v>0.06</v>
      </c>
      <c r="G19" s="12">
        <f>0/(801/90)</f>
        <v>0</v>
      </c>
      <c r="H19" s="11">
        <v>8</v>
      </c>
      <c r="I19" s="11">
        <v>38</v>
      </c>
      <c r="J19" s="11"/>
      <c r="K19" s="11"/>
      <c r="L19" s="11"/>
      <c r="M19" s="11"/>
      <c r="N19" s="11">
        <v>1</v>
      </c>
      <c r="O19" s="11">
        <v>4.5</v>
      </c>
      <c r="P19" s="12">
        <f>ARS_26[[#This Row],[xPoints Av.]]*ARS_26[[#This Row],[Regularity]]</f>
        <v>0.48000000000000004</v>
      </c>
      <c r="Q19" s="11" t="s">
        <v>11</v>
      </c>
    </row>
    <row r="20" spans="1:17" ht="24" x14ac:dyDescent="0.45">
      <c r="A20" s="11" t="s">
        <v>309</v>
      </c>
      <c r="B20" s="11" t="s">
        <v>84</v>
      </c>
      <c r="C2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4.76</v>
      </c>
      <c r="D2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20" s="12">
        <v>0.48</v>
      </c>
      <c r="F20" s="12">
        <v>0.28000000000000003</v>
      </c>
      <c r="G20" s="12">
        <v>0.52912880812399787</v>
      </c>
      <c r="H20" s="18">
        <v>20</v>
      </c>
      <c r="I20" s="18">
        <v>38</v>
      </c>
      <c r="J20" s="11"/>
      <c r="K20" s="11"/>
      <c r="L20" s="11"/>
      <c r="M20" s="11"/>
      <c r="N20" s="11">
        <v>1</v>
      </c>
      <c r="O20" s="11">
        <v>8</v>
      </c>
      <c r="P20" s="12">
        <f>ARS_26[[#This Row],[xPoints Av.]]*ARS_26[[#This Row],[Regularity]]</f>
        <v>2.5052631578947366</v>
      </c>
      <c r="Q20" s="11" t="s">
        <v>11</v>
      </c>
    </row>
    <row r="21" spans="1:17" ht="24" x14ac:dyDescent="0.45">
      <c r="C21" s="12"/>
      <c r="D21" s="12"/>
      <c r="J21" s="11"/>
      <c r="K21" s="11"/>
      <c r="L21" s="11"/>
      <c r="M21" s="11"/>
      <c r="P21" s="12"/>
      <c r="Q21" s="11"/>
    </row>
  </sheetData>
  <dataValidations count="1">
    <dataValidation type="list" allowBlank="1" showInputMessage="1" showErrorMessage="1" sqref="B2:B20" xr:uid="{BB77703C-DF3F-47BC-893B-E8AEB43E339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DF5-B3EA-4844-8DF4-B1783092A201}">
  <dimension ref="A1:Q16"/>
  <sheetViews>
    <sheetView workbookViewId="0">
      <selection activeCell="O12" sqref="O12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404</v>
      </c>
      <c r="B2" s="11" t="s">
        <v>64</v>
      </c>
      <c r="C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3.5326384364820846</v>
      </c>
      <c r="D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0.90909090909090917</v>
      </c>
      <c r="E2" s="12">
        <v>0.06</v>
      </c>
      <c r="F2" s="12">
        <v>0</v>
      </c>
      <c r="G2" s="12">
        <v>0.29315960912052119</v>
      </c>
      <c r="H2" s="11">
        <v>10</v>
      </c>
      <c r="I2" s="11">
        <v>11</v>
      </c>
      <c r="J2" s="11"/>
      <c r="K2" s="11"/>
      <c r="L2" s="11"/>
      <c r="M2" s="11"/>
      <c r="N2" s="11">
        <v>1</v>
      </c>
      <c r="O2" s="11">
        <v>4.5</v>
      </c>
      <c r="P2" s="12">
        <f>WHU_44[[#This Row],[xPoints Av.]]*WHU_44[[#This Row],[Regularity]]</f>
        <v>3.2114894877109865</v>
      </c>
      <c r="Q2" s="11" t="s">
        <v>13</v>
      </c>
    </row>
    <row r="3" spans="1:17" ht="24" x14ac:dyDescent="0.45">
      <c r="A3" s="11" t="s">
        <v>400</v>
      </c>
      <c r="B3" s="11" t="s">
        <v>64</v>
      </c>
      <c r="C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3.4748837209302326</v>
      </c>
      <c r="D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3" s="12">
        <v>0.1</v>
      </c>
      <c r="F3" s="12">
        <v>0.03</v>
      </c>
      <c r="G3" s="12">
        <v>0.19622093023255813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5</v>
      </c>
      <c r="P3" s="12">
        <f>WHU_44[[#This Row],[xPoints Av.]]*WHU_44[[#This Row],[Regularity]]</f>
        <v>2.8347735618115055</v>
      </c>
      <c r="Q3" s="11" t="s">
        <v>13</v>
      </c>
    </row>
    <row r="4" spans="1:17" ht="24" x14ac:dyDescent="0.45">
      <c r="A4" s="11" t="s">
        <v>402</v>
      </c>
      <c r="B4" s="11" t="s">
        <v>64</v>
      </c>
      <c r="C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3.1062175168431185</v>
      </c>
      <c r="D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0.85185185185185197</v>
      </c>
      <c r="E4" s="12">
        <v>0.04</v>
      </c>
      <c r="F4" s="12">
        <v>0</v>
      </c>
      <c r="G4" s="12">
        <v>0.21655437921077961</v>
      </c>
      <c r="H4" s="11">
        <v>23</v>
      </c>
      <c r="I4" s="11">
        <v>27</v>
      </c>
      <c r="J4" s="11"/>
      <c r="K4" s="11"/>
      <c r="L4" s="11"/>
      <c r="M4" s="11"/>
      <c r="N4" s="11">
        <v>1</v>
      </c>
      <c r="O4" s="11">
        <v>4.5</v>
      </c>
      <c r="P4" s="12">
        <f>WHU_44[[#This Row],[xPoints Av.]]*WHU_44[[#This Row],[Regularity]]</f>
        <v>2.6460371439774719</v>
      </c>
      <c r="Q4" s="11" t="s">
        <v>13</v>
      </c>
    </row>
    <row r="5" spans="1:17" ht="24" x14ac:dyDescent="0.45">
      <c r="A5" s="11" t="s">
        <v>399</v>
      </c>
      <c r="B5" s="11" t="s">
        <v>64</v>
      </c>
      <c r="C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3.4644314013206161</v>
      </c>
      <c r="D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0.76315789473684215</v>
      </c>
      <c r="E5" s="12">
        <v>0.03</v>
      </c>
      <c r="F5" s="12">
        <v>0.12</v>
      </c>
      <c r="G5" s="12">
        <v>0.23110785033015407</v>
      </c>
      <c r="H5" s="11">
        <v>29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WHU_44[[#This Row],[xPoints Av.]]*WHU_44[[#This Row],[Regularity]]</f>
        <v>2.6439081746920494</v>
      </c>
      <c r="Q5" s="11" t="s">
        <v>13</v>
      </c>
    </row>
    <row r="6" spans="1:17" ht="24" x14ac:dyDescent="0.45">
      <c r="A6" s="11" t="s">
        <v>401</v>
      </c>
      <c r="B6" s="11" t="s">
        <v>64</v>
      </c>
      <c r="C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3.428704123244223</v>
      </c>
      <c r="D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0.65789473684210531</v>
      </c>
      <c r="E6" s="12">
        <v>0.02</v>
      </c>
      <c r="F6" s="12">
        <v>0.11</v>
      </c>
      <c r="G6" s="12">
        <v>0.24467603081105574</v>
      </c>
      <c r="H6" s="11">
        <v>25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WHU_44[[#This Row],[xPoints Av.]]*WHU_44[[#This Row],[Regularity]]</f>
        <v>2.2557263968711996</v>
      </c>
      <c r="Q6" s="11" t="s">
        <v>13</v>
      </c>
    </row>
    <row r="7" spans="1:17" ht="24" x14ac:dyDescent="0.45">
      <c r="A7" s="11" t="s">
        <v>403</v>
      </c>
      <c r="B7" s="11" t="s">
        <v>64</v>
      </c>
      <c r="C7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2.9530851825340014</v>
      </c>
      <c r="D7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0.36842105263157893</v>
      </c>
      <c r="E7" s="12">
        <v>0.01</v>
      </c>
      <c r="F7" s="12">
        <v>0.04</v>
      </c>
      <c r="G7" s="12">
        <v>0.19327129563350035</v>
      </c>
      <c r="H7" s="11">
        <v>14</v>
      </c>
      <c r="I7" s="11">
        <v>38</v>
      </c>
      <c r="J7" s="11"/>
      <c r="K7" s="11"/>
      <c r="L7" s="11"/>
      <c r="M7" s="11"/>
      <c r="N7" s="11">
        <v>1</v>
      </c>
      <c r="O7" s="11">
        <v>4.5</v>
      </c>
      <c r="P7" s="12">
        <f>WHU_44[[#This Row],[xPoints Av.]]*WHU_44[[#This Row],[Regularity]]</f>
        <v>1.0879787514598953</v>
      </c>
      <c r="Q7" s="11" t="s">
        <v>13</v>
      </c>
    </row>
    <row r="8" spans="1:17" ht="24" x14ac:dyDescent="0.45">
      <c r="A8" s="11" t="s">
        <v>412</v>
      </c>
      <c r="B8" s="11" t="s">
        <v>84</v>
      </c>
      <c r="C8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4.03</v>
      </c>
      <c r="D8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8" s="12">
        <v>0.38</v>
      </c>
      <c r="F8" s="12">
        <v>0.17</v>
      </c>
      <c r="G8" s="12">
        <v>0.21176470588235294</v>
      </c>
      <c r="H8" s="11">
        <v>31</v>
      </c>
      <c r="I8" s="11">
        <v>38</v>
      </c>
      <c r="J8" s="11"/>
      <c r="K8" s="11"/>
      <c r="L8" s="11"/>
      <c r="M8" s="11"/>
      <c r="N8" s="11">
        <v>1</v>
      </c>
      <c r="O8" s="11">
        <v>7.5</v>
      </c>
      <c r="P8" s="12">
        <f>WHU_44[[#This Row],[xPoints Av.]]*WHU_44[[#This Row],[Regularity]]</f>
        <v>3.2876315789473685</v>
      </c>
      <c r="Q8" s="11" t="s">
        <v>13</v>
      </c>
    </row>
    <row r="9" spans="1:17" ht="24" x14ac:dyDescent="0.45">
      <c r="A9" s="11" t="s">
        <v>396</v>
      </c>
      <c r="B9" s="11" t="s">
        <v>62</v>
      </c>
      <c r="C9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2.8648648648648649</v>
      </c>
      <c r="D9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0.97368421052631582</v>
      </c>
      <c r="E9" s="12">
        <v>0</v>
      </c>
      <c r="F9" s="12">
        <v>0</v>
      </c>
      <c r="G9" s="12">
        <v>0.21621621621621623</v>
      </c>
      <c r="H9" s="11">
        <v>37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WHU_44[[#This Row],[xPoints Av.]]*WHU_44[[#This Row],[Regularity]]</f>
        <v>2.7894736842105265</v>
      </c>
      <c r="Q9" s="11" t="s">
        <v>13</v>
      </c>
    </row>
    <row r="10" spans="1:17" ht="24" x14ac:dyDescent="0.45">
      <c r="A10" s="11" t="s">
        <v>405</v>
      </c>
      <c r="B10" s="11" t="s">
        <v>75</v>
      </c>
      <c r="C10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4.7010445262805494</v>
      </c>
      <c r="D10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0.86842105263157898</v>
      </c>
      <c r="E10" s="12">
        <v>0.39</v>
      </c>
      <c r="F10" s="12">
        <v>0.17</v>
      </c>
      <c r="G10" s="12">
        <v>0.24104452628054904</v>
      </c>
      <c r="H10" s="11">
        <v>33</v>
      </c>
      <c r="I10" s="11">
        <v>38</v>
      </c>
      <c r="J10" s="11"/>
      <c r="K10" s="11"/>
      <c r="L10" s="11"/>
      <c r="M10" s="11"/>
      <c r="N10" s="11">
        <v>1</v>
      </c>
      <c r="O10" s="11">
        <v>8.5</v>
      </c>
      <c r="P10" s="12">
        <f>WHU_44[[#This Row],[xPoints Av.]]*WHU_44[[#This Row],[Regularity]]</f>
        <v>4.0824860359804775</v>
      </c>
      <c r="Q10" s="11" t="s">
        <v>13</v>
      </c>
    </row>
    <row r="11" spans="1:17" ht="24" x14ac:dyDescent="0.45">
      <c r="A11" s="11" t="s">
        <v>407</v>
      </c>
      <c r="B11" s="11" t="s">
        <v>75</v>
      </c>
      <c r="C11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3.6276028622540251</v>
      </c>
      <c r="D11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0.78947368421052633</v>
      </c>
      <c r="E11" s="12">
        <v>0.16</v>
      </c>
      <c r="F11" s="12">
        <v>0.19</v>
      </c>
      <c r="G11" s="12">
        <v>0.25760286225402501</v>
      </c>
      <c r="H11" s="11">
        <v>30</v>
      </c>
      <c r="I11" s="11">
        <v>38</v>
      </c>
      <c r="J11" s="11"/>
      <c r="K11" s="11"/>
      <c r="L11" s="11"/>
      <c r="M11" s="11"/>
      <c r="N11" s="11">
        <v>1</v>
      </c>
      <c r="O11" s="11">
        <v>5.5</v>
      </c>
      <c r="P11" s="12">
        <f>WHU_44[[#This Row],[xPoints Av.]]*WHU_44[[#This Row],[Regularity]]</f>
        <v>2.8638969965163357</v>
      </c>
      <c r="Q11" s="11" t="s">
        <v>13</v>
      </c>
    </row>
    <row r="12" spans="1:17" ht="24" x14ac:dyDescent="0.45">
      <c r="A12" s="11" t="s">
        <v>408</v>
      </c>
      <c r="B12" s="11" t="s">
        <v>75</v>
      </c>
      <c r="C1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3.1564129369487097</v>
      </c>
      <c r="D1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0.89473684210526316</v>
      </c>
      <c r="E12" s="12">
        <v>0.16</v>
      </c>
      <c r="F12" s="12">
        <v>0.06</v>
      </c>
      <c r="G12" s="12">
        <v>0.17641293694870958</v>
      </c>
      <c r="H12" s="11">
        <v>34</v>
      </c>
      <c r="I12" s="11">
        <v>38</v>
      </c>
      <c r="J12" s="11"/>
      <c r="K12" s="11"/>
      <c r="L12" s="11"/>
      <c r="M12" s="11"/>
      <c r="N12" s="11">
        <v>1</v>
      </c>
      <c r="O12" s="11">
        <v>5.5</v>
      </c>
      <c r="P12" s="12">
        <f>WHU_44[[#This Row],[xPoints Av.]]*WHU_44[[#This Row],[Regularity]]</f>
        <v>2.8241589435856875</v>
      </c>
      <c r="Q12" s="11" t="s">
        <v>13</v>
      </c>
    </row>
    <row r="13" spans="1:17" ht="24" x14ac:dyDescent="0.45">
      <c r="A13" s="11" t="s">
        <v>406</v>
      </c>
      <c r="B13" s="11" t="s">
        <v>75</v>
      </c>
      <c r="C1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4.1946530989824238</v>
      </c>
      <c r="D1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0.63157894736842102</v>
      </c>
      <c r="E13" s="12">
        <v>0.25</v>
      </c>
      <c r="F13" s="12">
        <v>0.19</v>
      </c>
      <c r="G13" s="12">
        <v>0.37465309898242366</v>
      </c>
      <c r="H13" s="11">
        <v>24</v>
      </c>
      <c r="I13" s="11">
        <v>38</v>
      </c>
      <c r="J13" s="11"/>
      <c r="K13" s="11"/>
      <c r="L13" s="11"/>
      <c r="M13" s="11"/>
      <c r="N13" s="11">
        <v>1</v>
      </c>
      <c r="O13" s="11">
        <v>6</v>
      </c>
      <c r="P13" s="12">
        <f>WHU_44[[#This Row],[xPoints Av.]]*WHU_44[[#This Row],[Regularity]]</f>
        <v>2.6492545888310044</v>
      </c>
      <c r="Q13" s="11" t="s">
        <v>13</v>
      </c>
    </row>
    <row r="14" spans="1:17" ht="24" x14ac:dyDescent="0.45">
      <c r="A14" s="11" t="s">
        <v>409</v>
      </c>
      <c r="B14" s="11" t="s">
        <v>75</v>
      </c>
      <c r="C1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2.4965575833857772</v>
      </c>
      <c r="D1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0.92105263157894735</v>
      </c>
      <c r="E14" s="12">
        <v>0.03</v>
      </c>
      <c r="F14" s="12">
        <v>0.04</v>
      </c>
      <c r="G14" s="12">
        <v>0.22655758338577722</v>
      </c>
      <c r="H14" s="11">
        <v>35</v>
      </c>
      <c r="I14" s="11">
        <v>38</v>
      </c>
      <c r="J14" s="11"/>
      <c r="K14" s="11"/>
      <c r="L14" s="11"/>
      <c r="M14" s="11"/>
      <c r="N14" s="11">
        <v>1</v>
      </c>
      <c r="O14" s="11">
        <v>5</v>
      </c>
      <c r="P14" s="12">
        <f>WHU_44[[#This Row],[xPoints Av.]]*WHU_44[[#This Row],[Regularity]]</f>
        <v>2.2994609320658475</v>
      </c>
      <c r="Q14" s="11" t="s">
        <v>13</v>
      </c>
    </row>
    <row r="15" spans="1:17" ht="24" x14ac:dyDescent="0.45">
      <c r="A15" s="11" t="s">
        <v>410</v>
      </c>
      <c r="B15" s="11" t="s">
        <v>75</v>
      </c>
      <c r="C1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3.4425886325267303</v>
      </c>
      <c r="D1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0.47368421052631576</v>
      </c>
      <c r="E15" s="12">
        <v>0.17</v>
      </c>
      <c r="F15" s="12">
        <v>0.13</v>
      </c>
      <c r="G15" s="12">
        <v>0.20258863252673046</v>
      </c>
      <c r="H15" s="11">
        <v>18</v>
      </c>
      <c r="I15" s="11">
        <v>38</v>
      </c>
      <c r="J15" s="11"/>
      <c r="K15" s="11"/>
      <c r="L15" s="11"/>
      <c r="M15" s="11"/>
      <c r="N15" s="11">
        <v>1</v>
      </c>
      <c r="O15" s="11">
        <v>5.5</v>
      </c>
      <c r="P15" s="12">
        <f>WHU_44[[#This Row],[xPoints Av.]]*WHU_44[[#This Row],[Regularity]]</f>
        <v>1.6306998785652933</v>
      </c>
      <c r="Q15" s="11" t="s">
        <v>13</v>
      </c>
    </row>
    <row r="16" spans="1:17" ht="24" x14ac:dyDescent="0.45">
      <c r="A16" s="11" t="s">
        <v>411</v>
      </c>
      <c r="B16" s="11" t="s">
        <v>75</v>
      </c>
      <c r="C1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3.2139344262295082</v>
      </c>
      <c r="D1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8.5714285714285715E-2</v>
      </c>
      <c r="E16" s="12">
        <v>0.15</v>
      </c>
      <c r="F16" s="12">
        <v>0.1</v>
      </c>
      <c r="G16" s="12">
        <v>0.16393442622950821</v>
      </c>
      <c r="H16" s="11">
        <v>3</v>
      </c>
      <c r="I16" s="11">
        <v>35</v>
      </c>
      <c r="J16" s="11"/>
      <c r="K16" s="11"/>
      <c r="L16" s="11"/>
      <c r="M16" s="11"/>
      <c r="N16" s="11">
        <v>1</v>
      </c>
      <c r="O16" s="11">
        <v>5</v>
      </c>
      <c r="P16" s="12">
        <f>WHU_44[[#This Row],[xPoints Av.]]*WHU_44[[#This Row],[Regularity]]</f>
        <v>0.27548009367681497</v>
      </c>
      <c r="Q16" s="11" t="s">
        <v>13</v>
      </c>
    </row>
  </sheetData>
  <dataValidations count="1">
    <dataValidation type="list" allowBlank="1" showInputMessage="1" showErrorMessage="1" sqref="B2:B16" xr:uid="{FE6BA4F2-FF69-4311-B8A9-C14B42B83339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EF0-7ED6-442A-A172-D98221F35932}">
  <dimension ref="A1:Q16"/>
  <sheetViews>
    <sheetView tabSelected="1" workbookViewId="0">
      <selection activeCell="O11" sqref="O11"/>
    </sheetView>
  </sheetViews>
  <sheetFormatPr defaultRowHeight="15" x14ac:dyDescent="0.25"/>
  <cols>
    <col min="1" max="1" width="21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432</v>
      </c>
      <c r="B2" s="11" t="s">
        <v>64</v>
      </c>
      <c r="C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3.5382207676286819</v>
      </c>
      <c r="D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0.97368421052631582</v>
      </c>
      <c r="E2" s="12">
        <v>0.06</v>
      </c>
      <c r="F2" s="12">
        <v>0</v>
      </c>
      <c r="G2" s="12">
        <v>0.2945551919071705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5</v>
      </c>
      <c r="P2" s="12">
        <f>WOL_45[[#This Row],[xPoints Av.]]*WOL_45[[#This Row],[Regularity]]</f>
        <v>3.4451096947963484</v>
      </c>
      <c r="Q2" s="11" t="s">
        <v>15</v>
      </c>
    </row>
    <row r="3" spans="1:17" ht="24" x14ac:dyDescent="0.45">
      <c r="A3" s="11" t="s">
        <v>433</v>
      </c>
      <c r="B3" s="11" t="s">
        <v>64</v>
      </c>
      <c r="C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3.6392857142857142</v>
      </c>
      <c r="D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0.9375</v>
      </c>
      <c r="E3" s="12">
        <v>0.05</v>
      </c>
      <c r="F3" s="12">
        <v>0</v>
      </c>
      <c r="G3" s="12">
        <v>0.33482142857142855</v>
      </c>
      <c r="H3" s="11">
        <v>30</v>
      </c>
      <c r="I3" s="11">
        <v>32</v>
      </c>
      <c r="J3" s="11"/>
      <c r="K3" s="11"/>
      <c r="L3" s="11"/>
      <c r="M3" s="11"/>
      <c r="N3" s="11">
        <v>1</v>
      </c>
      <c r="O3" s="11">
        <v>4.5</v>
      </c>
      <c r="P3" s="12">
        <f>WOL_45[[#This Row],[xPoints Av.]]*WOL_45[[#This Row],[Regularity]]</f>
        <v>3.4118303571428572</v>
      </c>
      <c r="Q3" s="11" t="s">
        <v>15</v>
      </c>
    </row>
    <row r="4" spans="1:17" ht="24" x14ac:dyDescent="0.45">
      <c r="A4" s="11" t="s">
        <v>434</v>
      </c>
      <c r="B4" s="11" t="s">
        <v>64</v>
      </c>
      <c r="C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4.0604129516658851</v>
      </c>
      <c r="D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0.60526315789473684</v>
      </c>
      <c r="E4" s="12">
        <v>0.06</v>
      </c>
      <c r="F4" s="12">
        <v>0.06</v>
      </c>
      <c r="G4" s="12">
        <v>0.38010323791647116</v>
      </c>
      <c r="H4" s="11">
        <v>23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WOL_45[[#This Row],[xPoints Av.]]*WOL_45[[#This Row],[Regularity]]</f>
        <v>2.457618365481983</v>
      </c>
      <c r="Q4" s="11" t="s">
        <v>15</v>
      </c>
    </row>
    <row r="5" spans="1:17" ht="24" x14ac:dyDescent="0.45">
      <c r="A5" s="11" t="s">
        <v>435</v>
      </c>
      <c r="B5" s="11" t="s">
        <v>64</v>
      </c>
      <c r="C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3.8000657174151149</v>
      </c>
      <c r="D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0.60606060606060608</v>
      </c>
      <c r="E5" s="12">
        <v>0.03</v>
      </c>
      <c r="F5" s="12">
        <v>0.08</v>
      </c>
      <c r="G5" s="12">
        <v>0.34501642935377874</v>
      </c>
      <c r="H5" s="11">
        <v>20</v>
      </c>
      <c r="I5" s="11">
        <v>33</v>
      </c>
      <c r="J5" s="11"/>
      <c r="K5" s="11"/>
      <c r="L5" s="11"/>
      <c r="M5" s="11"/>
      <c r="N5" s="11">
        <v>1</v>
      </c>
      <c r="O5" s="11">
        <v>4.5</v>
      </c>
      <c r="P5" s="12">
        <f>WOL_45[[#This Row],[xPoints Av.]]*WOL_45[[#This Row],[Regularity]]</f>
        <v>2.3030701317667366</v>
      </c>
      <c r="Q5" s="11" t="s">
        <v>15</v>
      </c>
    </row>
    <row r="6" spans="1:17" ht="24" x14ac:dyDescent="0.45">
      <c r="A6" s="11" t="s">
        <v>436</v>
      </c>
      <c r="B6" s="11" t="s">
        <v>64</v>
      </c>
      <c r="C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3.484500978473581</v>
      </c>
      <c r="D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0.28947368421052633</v>
      </c>
      <c r="E6" s="12">
        <v>0.08</v>
      </c>
      <c r="F6" s="12">
        <v>0.1</v>
      </c>
      <c r="G6" s="12">
        <v>0.17612524461839529</v>
      </c>
      <c r="H6" s="11">
        <v>11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WOL_45[[#This Row],[xPoints Av.]]*WOL_45[[#This Row],[Regularity]]</f>
        <v>1.0086713358739314</v>
      </c>
      <c r="Q6" s="11" t="s">
        <v>15</v>
      </c>
    </row>
    <row r="7" spans="1:17" ht="24" x14ac:dyDescent="0.45">
      <c r="A7" s="11" t="s">
        <v>444</v>
      </c>
      <c r="B7" s="11" t="s">
        <v>84</v>
      </c>
      <c r="C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3.32</v>
      </c>
      <c r="D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0.73684210526315785</v>
      </c>
      <c r="E7" s="12">
        <v>0.24</v>
      </c>
      <c r="F7" s="12">
        <v>0.12</v>
      </c>
      <c r="G7" s="12">
        <v>0.37642585551330798</v>
      </c>
      <c r="H7" s="11">
        <v>28</v>
      </c>
      <c r="I7" s="11">
        <v>38</v>
      </c>
      <c r="J7" s="11"/>
      <c r="K7" s="11"/>
      <c r="L7" s="11"/>
      <c r="M7" s="11"/>
      <c r="N7" s="11">
        <v>1</v>
      </c>
      <c r="O7" s="11">
        <v>7</v>
      </c>
      <c r="P7" s="12">
        <f>WOL_45[[#This Row],[xPoints Av.]]*WOL_45[[#This Row],[Regularity]]</f>
        <v>2.446315789473684</v>
      </c>
      <c r="Q7" s="11" t="s">
        <v>15</v>
      </c>
    </row>
    <row r="8" spans="1:17" ht="24" x14ac:dyDescent="0.45">
      <c r="A8" s="11" t="s">
        <v>445</v>
      </c>
      <c r="B8" s="11" t="s">
        <v>75</v>
      </c>
      <c r="C8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3.6378741027056876</v>
      </c>
      <c r="D8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0.62068965517241381</v>
      </c>
      <c r="E8" s="12">
        <v>0.21</v>
      </c>
      <c r="F8" s="12">
        <v>0.08</v>
      </c>
      <c r="G8" s="12">
        <v>0.34787410270568742</v>
      </c>
      <c r="H8" s="18">
        <v>18</v>
      </c>
      <c r="I8" s="18">
        <v>29</v>
      </c>
      <c r="J8" s="11"/>
      <c r="K8" s="11"/>
      <c r="L8" s="11"/>
      <c r="M8" s="11"/>
      <c r="N8" s="11">
        <v>1</v>
      </c>
      <c r="O8" s="11">
        <v>6</v>
      </c>
      <c r="P8" s="12">
        <f>WOL_45[[#This Row],[xPoints Av.]]*WOL_45[[#This Row],[Regularity]]</f>
        <v>2.2579908223690475</v>
      </c>
      <c r="Q8" s="11" t="s">
        <v>15</v>
      </c>
    </row>
    <row r="9" spans="1:17" ht="24" x14ac:dyDescent="0.45">
      <c r="A9" s="11" t="s">
        <v>446</v>
      </c>
      <c r="B9" s="11" t="s">
        <v>84</v>
      </c>
      <c r="C9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3.9699999999999998</v>
      </c>
      <c r="D9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0.13513513513513514</v>
      </c>
      <c r="E9" s="12">
        <v>0.44</v>
      </c>
      <c r="F9" s="12">
        <v>7.0000000000000007E-2</v>
      </c>
      <c r="G9" s="12">
        <v>0</v>
      </c>
      <c r="H9" s="18">
        <v>5</v>
      </c>
      <c r="I9" s="18">
        <v>37</v>
      </c>
      <c r="J9" s="11"/>
      <c r="K9" s="11"/>
      <c r="L9" s="11"/>
      <c r="M9" s="11"/>
      <c r="N9" s="11">
        <v>1</v>
      </c>
      <c r="O9" s="11">
        <v>5.5</v>
      </c>
      <c r="P9" s="12">
        <f>WOL_45[[#This Row],[xPoints Av.]]*WOL_45[[#This Row],[Regularity]]</f>
        <v>0.53648648648648645</v>
      </c>
      <c r="Q9" s="11" t="s">
        <v>15</v>
      </c>
    </row>
    <row r="10" spans="1:17" ht="24" x14ac:dyDescent="0.45">
      <c r="A10" s="11" t="s">
        <v>414</v>
      </c>
      <c r="B10" s="11" t="s">
        <v>62</v>
      </c>
      <c r="C10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3.2054794520547945</v>
      </c>
      <c r="D10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0.94736842105263153</v>
      </c>
      <c r="E10" s="12">
        <v>0</v>
      </c>
      <c r="F10" s="12">
        <v>0.01</v>
      </c>
      <c r="G10" s="12">
        <v>0.30136986301369861</v>
      </c>
      <c r="H10" s="11">
        <v>36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WOL_45[[#This Row],[xPoints Av.]]*WOL_45[[#This Row],[Regularity]]</f>
        <v>3.0367700072098049</v>
      </c>
      <c r="Q10" s="11" t="s">
        <v>15</v>
      </c>
    </row>
    <row r="11" spans="1:17" ht="24" x14ac:dyDescent="0.45">
      <c r="A11" s="11" t="s">
        <v>437</v>
      </c>
      <c r="B11" s="11" t="s">
        <v>75</v>
      </c>
      <c r="C11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2.7233333333333332</v>
      </c>
      <c r="D11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0.86842105263157898</v>
      </c>
      <c r="E11" s="12">
        <v>0.03</v>
      </c>
      <c r="F11" s="12">
        <v>0.08</v>
      </c>
      <c r="G11" s="12">
        <v>0.33333333333333331</v>
      </c>
      <c r="H11" s="11">
        <v>33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WOL_45[[#This Row],[xPoints Av.]]*WOL_45[[#This Row],[Regularity]]</f>
        <v>2.3649999999999998</v>
      </c>
      <c r="Q11" s="11" t="s">
        <v>15</v>
      </c>
    </row>
    <row r="12" spans="1:17" ht="24" x14ac:dyDescent="0.45">
      <c r="A12" s="11" t="s">
        <v>438</v>
      </c>
      <c r="B12" s="11" t="s">
        <v>75</v>
      </c>
      <c r="C1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2.7446257991726215</v>
      </c>
      <c r="D1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0.82857142857142863</v>
      </c>
      <c r="E12" s="12">
        <v>0.04</v>
      </c>
      <c r="F12" s="12">
        <v>0.08</v>
      </c>
      <c r="G12" s="12">
        <v>0.30462579917262128</v>
      </c>
      <c r="H12" s="11">
        <v>29</v>
      </c>
      <c r="I12" s="11">
        <v>35</v>
      </c>
      <c r="J12" s="11"/>
      <c r="K12" s="11"/>
      <c r="L12" s="11"/>
      <c r="M12" s="11"/>
      <c r="N12" s="11">
        <v>1</v>
      </c>
      <c r="O12" s="11">
        <v>5.5</v>
      </c>
      <c r="P12" s="12">
        <f>WOL_45[[#This Row],[xPoints Av.]]*WOL_45[[#This Row],[Regularity]]</f>
        <v>2.2741185193144582</v>
      </c>
      <c r="Q12" s="11" t="s">
        <v>15</v>
      </c>
    </row>
    <row r="13" spans="1:17" ht="24" x14ac:dyDescent="0.45">
      <c r="A13" s="11" t="s">
        <v>440</v>
      </c>
      <c r="B13" s="11" t="s">
        <v>75</v>
      </c>
      <c r="C1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3.9291525423728815</v>
      </c>
      <c r="D1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0.53333333333333333</v>
      </c>
      <c r="E13" s="12">
        <v>0.12</v>
      </c>
      <c r="F13" s="12">
        <v>0.26</v>
      </c>
      <c r="G13" s="12">
        <v>0.54915254237288136</v>
      </c>
      <c r="H13" s="11">
        <v>16</v>
      </c>
      <c r="I13" s="11">
        <v>30</v>
      </c>
      <c r="J13" s="11"/>
      <c r="K13" s="11"/>
      <c r="L13" s="11"/>
      <c r="M13" s="11"/>
      <c r="N13" s="11">
        <v>1</v>
      </c>
      <c r="O13" s="11">
        <v>5.5</v>
      </c>
      <c r="P13" s="12">
        <f>WOL_45[[#This Row],[xPoints Av.]]*WOL_45[[#This Row],[Regularity]]</f>
        <v>2.0955480225988703</v>
      </c>
      <c r="Q13" s="11" t="s">
        <v>15</v>
      </c>
    </row>
    <row r="14" spans="1:17" ht="24" x14ac:dyDescent="0.45">
      <c r="A14" s="14" t="s">
        <v>439</v>
      </c>
      <c r="B14" s="11" t="s">
        <v>75</v>
      </c>
      <c r="C1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2.9013624678663241</v>
      </c>
      <c r="D1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0.55263157894736847</v>
      </c>
      <c r="E14" s="12">
        <v>0.11</v>
      </c>
      <c r="F14" s="12">
        <v>0.04</v>
      </c>
      <c r="G14" s="12">
        <v>0.23136246786632392</v>
      </c>
      <c r="H14" s="11">
        <v>21</v>
      </c>
      <c r="I14" s="11">
        <v>38</v>
      </c>
      <c r="J14" s="11"/>
      <c r="K14" s="11"/>
      <c r="L14" s="11"/>
      <c r="M14" s="11"/>
      <c r="N14" s="11">
        <v>1</v>
      </c>
      <c r="O14" s="11">
        <v>5</v>
      </c>
      <c r="P14" s="12">
        <f>WOL_45[[#This Row],[xPoints Av.]]*WOL_45[[#This Row],[Regularity]]</f>
        <v>1.6033845217156004</v>
      </c>
      <c r="Q14" s="11" t="s">
        <v>15</v>
      </c>
    </row>
    <row r="15" spans="1:17" ht="24" x14ac:dyDescent="0.45">
      <c r="A15" s="11" t="s">
        <v>442</v>
      </c>
      <c r="B15" s="11" t="s">
        <v>75</v>
      </c>
      <c r="C1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4.55</v>
      </c>
      <c r="D1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0.26666666666666666</v>
      </c>
      <c r="E15" s="12">
        <v>0.33</v>
      </c>
      <c r="F15" s="12">
        <v>0.3</v>
      </c>
      <c r="G15" s="12">
        <v>0</v>
      </c>
      <c r="H15" s="11">
        <v>4</v>
      </c>
      <c r="I15" s="11">
        <v>15</v>
      </c>
      <c r="J15" s="11"/>
      <c r="K15" s="11"/>
      <c r="L15" s="11"/>
      <c r="M15" s="11"/>
      <c r="N15" s="11">
        <v>1</v>
      </c>
      <c r="O15" s="11">
        <v>5.5</v>
      </c>
      <c r="P15" s="12">
        <f>WOL_45[[#This Row],[xPoints Av.]]*WOL_45[[#This Row],[Regularity]]</f>
        <v>1.2133333333333334</v>
      </c>
      <c r="Q15" s="11" t="s">
        <v>15</v>
      </c>
    </row>
    <row r="16" spans="1:17" ht="24" x14ac:dyDescent="0.45">
      <c r="A16" s="11" t="s">
        <v>443</v>
      </c>
      <c r="B16" s="11" t="s">
        <v>75</v>
      </c>
      <c r="C1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4.83</v>
      </c>
      <c r="D1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5.5555555555555559E-2</v>
      </c>
      <c r="E16" s="12">
        <v>0.26</v>
      </c>
      <c r="F16" s="12">
        <v>0.51</v>
      </c>
      <c r="G16" s="12">
        <v>0</v>
      </c>
      <c r="H16" s="11">
        <v>1</v>
      </c>
      <c r="I16" s="11">
        <v>18</v>
      </c>
      <c r="J16" s="11"/>
      <c r="K16" s="11"/>
      <c r="L16" s="11"/>
      <c r="M16" s="11"/>
      <c r="N16" s="11">
        <v>1</v>
      </c>
      <c r="O16" s="11">
        <v>5</v>
      </c>
      <c r="P16" s="12">
        <f>WOL_45[[#This Row],[xPoints Av.]]*WOL_45[[#This Row],[Regularity]]</f>
        <v>0.26833333333333337</v>
      </c>
      <c r="Q16" s="11" t="s">
        <v>15</v>
      </c>
    </row>
  </sheetData>
  <dataValidations count="1">
    <dataValidation type="list" allowBlank="1" showInputMessage="1" showErrorMessage="1" sqref="B2:B16" xr:uid="{B3A513F8-1FBF-46C2-B6A8-4983EBFEE19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EE8-FD51-4589-8EA4-D3E26653B080}">
  <sheetPr codeName="Sheet3"/>
  <dimension ref="A1:Q346"/>
  <sheetViews>
    <sheetView topLeftCell="A324" zoomScale="70" zoomScaleNormal="70" workbookViewId="0">
      <selection activeCell="I297" sqref="I297"/>
    </sheetView>
  </sheetViews>
  <sheetFormatPr defaultRowHeight="30" customHeight="1" x14ac:dyDescent="0.35"/>
  <cols>
    <col min="1" max="1" width="18.42578125" style="1" customWidth="1"/>
    <col min="2" max="2" width="9.42578125" style="1" customWidth="1"/>
    <col min="3" max="3" width="17.7109375" style="1" customWidth="1"/>
    <col min="4" max="4" width="14.85546875" style="1" customWidth="1"/>
    <col min="5" max="5" width="24.28515625" style="1" customWidth="1"/>
    <col min="6" max="7" width="24.140625" style="1" customWidth="1"/>
    <col min="8" max="8" width="27.42578125" style="1" customWidth="1"/>
    <col min="9" max="9" width="37.42578125" style="1" customWidth="1"/>
    <col min="10" max="10" width="24.140625" style="1" customWidth="1"/>
    <col min="11" max="11" width="24" style="1" customWidth="1"/>
    <col min="12" max="12" width="24.140625" style="1" customWidth="1"/>
    <col min="13" max="13" width="27.85546875" customWidth="1"/>
    <col min="14" max="14" width="39.140625" customWidth="1"/>
    <col min="15" max="15" width="11.140625" style="1" customWidth="1"/>
    <col min="16" max="16" width="12.85546875" style="1" customWidth="1"/>
    <col min="17" max="17" width="18.140625" style="1" customWidth="1"/>
    <col min="18" max="16384" width="9.140625" style="1"/>
  </cols>
  <sheetData>
    <row r="1" spans="1:17" ht="30" customHeight="1" x14ac:dyDescent="0.35">
      <c r="A1" s="24" t="s">
        <v>60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0" customHeight="1" x14ac:dyDescent="0.35">
      <c r="A2" s="2" t="s">
        <v>52</v>
      </c>
      <c r="B2" s="2" t="s">
        <v>86</v>
      </c>
      <c r="C2" s="2" t="s">
        <v>59</v>
      </c>
      <c r="D2" s="2" t="s">
        <v>54</v>
      </c>
      <c r="E2" s="2" t="s">
        <v>55</v>
      </c>
      <c r="F2" s="2" t="s">
        <v>56</v>
      </c>
      <c r="G2" s="2" t="s">
        <v>65</v>
      </c>
      <c r="H2" s="2" t="s">
        <v>88</v>
      </c>
      <c r="I2" s="2" t="s">
        <v>89</v>
      </c>
      <c r="J2" s="2" t="s">
        <v>57</v>
      </c>
      <c r="K2" s="2" t="s">
        <v>58</v>
      </c>
      <c r="L2" s="2" t="s">
        <v>66</v>
      </c>
      <c r="M2" s="2" t="s">
        <v>87</v>
      </c>
      <c r="N2" s="2" t="s">
        <v>90</v>
      </c>
      <c r="O2" s="2" t="s">
        <v>67</v>
      </c>
      <c r="P2" s="2" t="s">
        <v>53</v>
      </c>
      <c r="Q2" s="2" t="s">
        <v>0</v>
      </c>
    </row>
    <row r="3" spans="1:17" ht="30" customHeight="1" x14ac:dyDescent="0.45">
      <c r="A3" s="11" t="s">
        <v>74</v>
      </c>
      <c r="B3" s="11" t="s">
        <v>75</v>
      </c>
      <c r="C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4.4728811282740093</v>
      </c>
      <c r="D3" s="12">
        <f>(ARS[[#This Row],[60+Mins Last Season]]/ARS[[#This Row],[Possible 60+Mins Last Season]] * (38-MAX(GameRecord[GW]))/38) + (ARS[[#This Row],[60+Mins This Season]]/ARS[[#This Row],[Possible 60+Mins This Season]] * (MAX(GameRecord[GW]))/38)</f>
        <v>0.89473684210526316</v>
      </c>
      <c r="E3" s="12">
        <v>0.28999999999999998</v>
      </c>
      <c r="F3" s="12">
        <v>0.21</v>
      </c>
      <c r="G3" s="12">
        <f>13/(2978/90)</f>
        <v>0.39288112827400939</v>
      </c>
      <c r="H3" s="11">
        <v>34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ARS[[#This Row],[xPoints Av.]]*ARS[[#This Row],[Regularity]]</f>
        <v>4.0020515358241138</v>
      </c>
      <c r="Q3" s="11" t="s">
        <v>11</v>
      </c>
    </row>
    <row r="4" spans="1:17" ht="30" customHeight="1" x14ac:dyDescent="0.45">
      <c r="A4" s="11" t="s">
        <v>69</v>
      </c>
      <c r="B4" s="11" t="s">
        <v>64</v>
      </c>
      <c r="C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4.5168058455114828</v>
      </c>
      <c r="D4" s="12">
        <f>(ARS[[#This Row],[60+Mins Last Season]]/ARS[[#This Row],[Possible 60+Mins Last Season]] * (38-MAX(GameRecord[GW]))/38) + (ARS[[#This Row],[60+Mins This Season]]/ARS[[#This Row],[Possible 60+Mins This Season]] * (MAX(GameRecord[GW]))/38)</f>
        <v>0.87999999999999989</v>
      </c>
      <c r="E4" s="12">
        <v>0.03</v>
      </c>
      <c r="F4" s="12">
        <v>0.09</v>
      </c>
      <c r="G4" s="12">
        <f>11/(1916/90)</f>
        <v>0.51670146137787054</v>
      </c>
      <c r="H4" s="11">
        <v>22</v>
      </c>
      <c r="I4" s="11">
        <v>25</v>
      </c>
      <c r="J4" s="11"/>
      <c r="K4" s="11"/>
      <c r="L4" s="11"/>
      <c r="M4" s="11"/>
      <c r="N4" s="11">
        <v>1</v>
      </c>
      <c r="O4" s="11"/>
      <c r="P4" s="12">
        <f>ARS[[#This Row],[xPoints Av.]]*ARS[[#This Row],[Regularity]]</f>
        <v>3.9747891440501042</v>
      </c>
      <c r="Q4" s="11" t="s">
        <v>11</v>
      </c>
    </row>
    <row r="5" spans="1:17" ht="30" customHeight="1" x14ac:dyDescent="0.45">
      <c r="A5" s="11" t="s">
        <v>63</v>
      </c>
      <c r="B5" s="11" t="s">
        <v>64</v>
      </c>
      <c r="C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4.0679138099902055</v>
      </c>
      <c r="D5" s="12">
        <f>(ARS[[#This Row],[60+Mins Last Season]]/ARS[[#This Row],[Possible 60+Mins Last Season]] * (38-MAX(GameRecord[GW]))/38) + (ARS[[#This Row],[60+Mins This Season]]/ARS[[#This Row],[Possible 60+Mins This Season]] * (MAX(GameRecord[GW]))/38)</f>
        <v>0.92105263157894735</v>
      </c>
      <c r="E5" s="12">
        <v>0.08</v>
      </c>
      <c r="F5" s="12">
        <v>0.02</v>
      </c>
      <c r="G5" s="12">
        <f>13/(3063/90)</f>
        <v>0.38197845249755147</v>
      </c>
      <c r="H5" s="11">
        <v>35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ARS[[#This Row],[xPoints Av.]]*ARS[[#This Row],[Regularity]]</f>
        <v>3.7467627197278208</v>
      </c>
      <c r="Q5" s="11" t="s">
        <v>11</v>
      </c>
    </row>
    <row r="6" spans="1:17" ht="30" customHeight="1" x14ac:dyDescent="0.45">
      <c r="A6" s="11" t="s">
        <v>76</v>
      </c>
      <c r="B6" s="11" t="s">
        <v>75</v>
      </c>
      <c r="C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3.8158590941768509</v>
      </c>
      <c r="D6" s="12">
        <f>(ARS[[#This Row],[60+Mins Last Season]]/ARS[[#This Row],[Possible 60+Mins Last Season]] * (38-MAX(GameRecord[GW]))/38) + (ARS[[#This Row],[60+Mins This Season]]/ARS[[#This Row],[Possible 60+Mins This Season]] * (MAX(GameRecord[GW]))/38)</f>
        <v>0.88888888888888895</v>
      </c>
      <c r="E6" s="12">
        <v>0.16</v>
      </c>
      <c r="F6" s="12">
        <v>0.22</v>
      </c>
      <c r="G6" s="12">
        <f>11/(2782/90)</f>
        <v>0.35585909417685119</v>
      </c>
      <c r="H6" s="11">
        <v>32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ARS[[#This Row],[xPoints Av.]]*ARS[[#This Row],[Regularity]]</f>
        <v>3.3918747503794231</v>
      </c>
      <c r="Q6" s="11" t="s">
        <v>11</v>
      </c>
    </row>
    <row r="7" spans="1:17" ht="30" customHeight="1" x14ac:dyDescent="0.45">
      <c r="A7" s="11" t="s">
        <v>68</v>
      </c>
      <c r="B7" s="11" t="s">
        <v>64</v>
      </c>
      <c r="C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3.8650000000000002</v>
      </c>
      <c r="D7" s="12">
        <f>(ARS[[#This Row],[60+Mins Last Season]]/ARS[[#This Row],[Possible 60+Mins Last Season]] * (38-MAX(GameRecord[GW]))/38) + (ARS[[#This Row],[60+Mins This Season]]/ARS[[#This Row],[Possible 60+Mins This Season]] * (MAX(GameRecord[GW]))/38)</f>
        <v>0.86842105263157898</v>
      </c>
      <c r="E7" s="12">
        <v>0.03</v>
      </c>
      <c r="F7" s="12">
        <v>0.02</v>
      </c>
      <c r="G7" s="12">
        <f>13/(2880/90)</f>
        <v>0.40625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ARS[[#This Row],[xPoints Av.]]*ARS[[#This Row],[Regularity]]</f>
        <v>3.356447368421053</v>
      </c>
      <c r="Q7" s="11" t="s">
        <v>11</v>
      </c>
    </row>
    <row r="8" spans="1:17" ht="30" customHeight="1" x14ac:dyDescent="0.45">
      <c r="A8" s="11" t="s">
        <v>61</v>
      </c>
      <c r="B8" s="11" t="s">
        <v>62</v>
      </c>
      <c r="C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3.4117647058823533</v>
      </c>
      <c r="D8" s="12">
        <f>(ARS[[#This Row],[60+Mins Last Season]]/ARS[[#This Row],[Possible 60+Mins Last Season]] * (38-MAX(GameRecord[GW]))/38) + (ARS[[#This Row],[60+Mins This Season]]/ARS[[#This Row],[Possible 60+Mins This Season]] * (MAX(GameRecord[GW]))/38)</f>
        <v>0.91891891891891897</v>
      </c>
      <c r="E8" s="12">
        <v>0</v>
      </c>
      <c r="F8" s="12">
        <v>0</v>
      </c>
      <c r="G8" s="12">
        <f>12/(3060/90)</f>
        <v>0.35294117647058826</v>
      </c>
      <c r="H8" s="11">
        <v>34</v>
      </c>
      <c r="I8" s="11">
        <v>37</v>
      </c>
      <c r="J8" s="11"/>
      <c r="K8" s="11"/>
      <c r="L8" s="11"/>
      <c r="M8" s="11"/>
      <c r="N8" s="11">
        <v>1</v>
      </c>
      <c r="O8" s="11"/>
      <c r="P8" s="12">
        <f>ARS[[#This Row],[xPoints Av.]]*ARS[[#This Row],[Regularity]]</f>
        <v>3.1351351351351355</v>
      </c>
      <c r="Q8" s="11" t="s">
        <v>11</v>
      </c>
    </row>
    <row r="9" spans="1:17" ht="30" customHeight="1" x14ac:dyDescent="0.45">
      <c r="A9" s="11" t="s">
        <v>79</v>
      </c>
      <c r="B9" s="11" t="s">
        <v>75</v>
      </c>
      <c r="C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3.1740059200789341</v>
      </c>
      <c r="D9" s="12">
        <f>(ARS[[#This Row],[60+Mins Last Season]]/ARS[[#This Row],[Possible 60+Mins Last Season]] * (38-MAX(GameRecord[GW]))/38) + (ARS[[#This Row],[60+Mins This Season]]/ARS[[#This Row],[Possible 60+Mins This Season]] * (MAX(GameRecord[GW]))/38)</f>
        <v>0.92</v>
      </c>
      <c r="E9" s="12">
        <v>0.11</v>
      </c>
      <c r="F9" s="12">
        <v>0.06</v>
      </c>
      <c r="G9" s="12">
        <f>10/(2027/90)</f>
        <v>0.44400592007893441</v>
      </c>
      <c r="H9" s="11">
        <v>23</v>
      </c>
      <c r="I9" s="11">
        <v>25</v>
      </c>
      <c r="J9" s="11"/>
      <c r="K9" s="11"/>
      <c r="L9" s="11"/>
      <c r="M9" s="11"/>
      <c r="N9" s="11">
        <v>1</v>
      </c>
      <c r="O9" s="11"/>
      <c r="P9" s="12">
        <f>ARS[[#This Row],[xPoints Av.]]*ARS[[#This Row],[Regularity]]</f>
        <v>2.9200854464726196</v>
      </c>
      <c r="Q9" s="11" t="s">
        <v>11</v>
      </c>
    </row>
    <row r="10" spans="1:17" ht="30" customHeight="1" x14ac:dyDescent="0.45">
      <c r="A10" s="11" t="s">
        <v>70</v>
      </c>
      <c r="B10" s="11" t="s">
        <v>64</v>
      </c>
      <c r="C1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4.258571428571428</v>
      </c>
      <c r="D10" s="12">
        <f>(ARS[[#This Row],[60+Mins Last Season]]/ARS[[#This Row],[Possible 60+Mins Last Season]] * (38-MAX(GameRecord[GW]))/38) + (ARS[[#This Row],[60+Mins This Season]]/ARS[[#This Row],[Possible 60+Mins This Season]] * (MAX(GameRecord[GW]))/38)</f>
        <v>0.65517241379310343</v>
      </c>
      <c r="E10" s="12">
        <v>0.04</v>
      </c>
      <c r="F10" s="12">
        <v>0.03</v>
      </c>
      <c r="G10" s="12">
        <f>9/(1680/90)</f>
        <v>0.4821428571428571</v>
      </c>
      <c r="H10" s="11">
        <v>19</v>
      </c>
      <c r="I10" s="11">
        <v>29</v>
      </c>
      <c r="J10" s="11"/>
      <c r="K10" s="11"/>
      <c r="L10" s="11"/>
      <c r="M10" s="11"/>
      <c r="N10" s="11">
        <v>1</v>
      </c>
      <c r="O10" s="11"/>
      <c r="P10" s="12">
        <f>ARS[[#This Row],[xPoints Av.]]*ARS[[#This Row],[Regularity]]</f>
        <v>2.7900985221674874</v>
      </c>
      <c r="Q10" s="11" t="s">
        <v>11</v>
      </c>
    </row>
    <row r="11" spans="1:17" ht="30" customHeight="1" x14ac:dyDescent="0.45">
      <c r="A11" s="11" t="s">
        <v>78</v>
      </c>
      <c r="B11" s="11" t="s">
        <v>75</v>
      </c>
      <c r="C11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4.5696226415094339</v>
      </c>
      <c r="D11" s="12">
        <f>(ARS[[#This Row],[60+Mins Last Season]]/ARS[[#This Row],[Possible 60+Mins Last Season]] * (38-MAX(GameRecord[GW]))/38) + (ARS[[#This Row],[60+Mins This Season]]/ARS[[#This Row],[Possible 60+Mins This Season]] * (MAX(GameRecord[GW]))/38)</f>
        <v>0.55263157894736847</v>
      </c>
      <c r="E11" s="12">
        <v>0.35</v>
      </c>
      <c r="F11" s="12">
        <v>0.16</v>
      </c>
      <c r="G11" s="12">
        <f>7/(1855/90)</f>
        <v>0.33962264150943394</v>
      </c>
      <c r="H11" s="11">
        <v>21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ARS[[#This Row],[xPoints Av.]]*ARS[[#This Row],[Regularity]]</f>
        <v>2.5253177755710032</v>
      </c>
      <c r="Q11" s="11" t="s">
        <v>11</v>
      </c>
    </row>
    <row r="12" spans="1:17" ht="30" customHeight="1" x14ac:dyDescent="0.45">
      <c r="A12" s="11" t="s">
        <v>80</v>
      </c>
      <c r="B12" s="11" t="s">
        <v>75</v>
      </c>
      <c r="C12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2.7520584443489473</v>
      </c>
      <c r="D12" s="12">
        <f>(ARS[[#This Row],[60+Mins Last Season]]/ARS[[#This Row],[Possible 60+Mins Last Season]] * (38-MAX(GameRecord[GW]))/38) + (ARS[[#This Row],[60+Mins This Season]]/ARS[[#This Row],[Possible 60+Mins This Season]] * (MAX(GameRecord[GW]))/38)</f>
        <v>0.86666666666666681</v>
      </c>
      <c r="E12" s="12">
        <v>0.05</v>
      </c>
      <c r="F12" s="12">
        <v>0.09</v>
      </c>
      <c r="G12" s="12">
        <f>6/(2327/90)</f>
        <v>0.23205844434894715</v>
      </c>
      <c r="H12" s="11">
        <v>26</v>
      </c>
      <c r="I12" s="11">
        <v>30</v>
      </c>
      <c r="J12" s="11"/>
      <c r="K12" s="11"/>
      <c r="L12" s="11"/>
      <c r="M12" s="11"/>
      <c r="N12" s="11">
        <v>1</v>
      </c>
      <c r="O12" s="11"/>
      <c r="P12" s="12">
        <f>ARS[[#This Row],[xPoints Av.]]*ARS[[#This Row],[Regularity]]</f>
        <v>2.3851173184357548</v>
      </c>
      <c r="Q12" s="11" t="s">
        <v>11</v>
      </c>
    </row>
    <row r="13" spans="1:17" ht="30" customHeight="1" x14ac:dyDescent="0.45">
      <c r="A13" s="14" t="s">
        <v>77</v>
      </c>
      <c r="B13" s="11" t="s">
        <v>75</v>
      </c>
      <c r="C1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4.0271608171817705</v>
      </c>
      <c r="D13" s="12">
        <f>(ARS[[#This Row],[60+Mins Last Season]]/ARS[[#This Row],[Possible 60+Mins Last Season]] * (38-MAX(GameRecord[GW]))/38) + (ARS[[#This Row],[60+Mins This Season]]/ARS[[#This Row],[Possible 60+Mins This Season]] * (MAX(GameRecord[GW]))/38)</f>
        <v>0.52631578947368418</v>
      </c>
      <c r="E13" s="12">
        <v>0.27</v>
      </c>
      <c r="F13" s="12">
        <v>0.1</v>
      </c>
      <c r="G13" s="12">
        <f>8/(1909/90)</f>
        <v>0.37716081718177052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ARS[[#This Row],[xPoints Av.]]*ARS[[#This Row],[Regularity]]</f>
        <v>2.1195583248325107</v>
      </c>
      <c r="Q13" s="11" t="s">
        <v>11</v>
      </c>
    </row>
    <row r="14" spans="1:17" ht="30" customHeight="1" x14ac:dyDescent="0.45">
      <c r="A14" s="11" t="s">
        <v>72</v>
      </c>
      <c r="B14" s="11" t="s">
        <v>64</v>
      </c>
      <c r="C1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3.1792370020256584</v>
      </c>
      <c r="D14" s="12">
        <f>(ARS[[#This Row],[60+Mins Last Season]]/ARS[[#This Row],[Possible 60+Mins Last Season]] * (38-MAX(GameRecord[GW]))/38) + (ARS[[#This Row],[60+Mins This Season]]/ARS[[#This Row],[Possible 60+Mins This Season]] * (MAX(GameRecord[GW]))/38)</f>
        <v>0.39473684210526316</v>
      </c>
      <c r="E14" s="12">
        <v>0.03</v>
      </c>
      <c r="F14" s="12">
        <v>0.09</v>
      </c>
      <c r="G14" s="12">
        <f>3/(1481/90)</f>
        <v>0.18230925050641458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ARS[[#This Row],[xPoints Av.]]*ARS[[#This Row],[Regularity]]</f>
        <v>1.2549619744838125</v>
      </c>
      <c r="Q14" s="11" t="s">
        <v>11</v>
      </c>
    </row>
    <row r="15" spans="1:17" ht="30" customHeight="1" x14ac:dyDescent="0.45">
      <c r="A15" s="11" t="s">
        <v>71</v>
      </c>
      <c r="B15" s="11" t="s">
        <v>64</v>
      </c>
      <c r="C1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3.8238665526090676</v>
      </c>
      <c r="D15" s="12">
        <f>(ARS[[#This Row],[60+Mins Last Season]]/ARS[[#This Row],[Possible 60+Mins Last Season]] * (38-MAX(GameRecord[GW]))/38) + (ARS[[#This Row],[60+Mins This Season]]/ARS[[#This Row],[Possible 60+Mins This Season]] * (MAX(GameRecord[GW]))/38)</f>
        <v>0.26315789473684209</v>
      </c>
      <c r="E15" s="12">
        <v>0.11</v>
      </c>
      <c r="F15" s="12">
        <v>0.08</v>
      </c>
      <c r="G15" s="12">
        <f>3/(1169/90)</f>
        <v>0.2309666381522669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ARS[[#This Row],[xPoints Av.]]*ARS[[#This Row],[Regularity]]</f>
        <v>1.0062806717392283</v>
      </c>
      <c r="Q15" s="11" t="s">
        <v>11</v>
      </c>
    </row>
    <row r="16" spans="1:17" ht="30" customHeight="1" x14ac:dyDescent="0.45">
      <c r="A16" s="11" t="s">
        <v>85</v>
      </c>
      <c r="B16" s="11" t="s">
        <v>84</v>
      </c>
      <c r="C1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4.4800000000000004</v>
      </c>
      <c r="D16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6" s="12">
        <v>0.5</v>
      </c>
      <c r="F16" s="12">
        <v>0.16</v>
      </c>
      <c r="G16" s="12">
        <f>0/(823/90)</f>
        <v>0</v>
      </c>
      <c r="H16" s="11">
        <v>8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ARS[[#This Row],[xPoints Av.]]*ARS[[#This Row],[Regularity]]</f>
        <v>0.9431578947368422</v>
      </c>
      <c r="Q16" s="11" t="s">
        <v>11</v>
      </c>
    </row>
    <row r="17" spans="1:17" ht="30" customHeight="1" x14ac:dyDescent="0.45">
      <c r="A17" s="13" t="s">
        <v>81</v>
      </c>
      <c r="B17" s="11" t="s">
        <v>75</v>
      </c>
      <c r="C1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2.9880159433126661</v>
      </c>
      <c r="D17" s="12">
        <f>(ARS[[#This Row],[60+Mins Last Season]]/ARS[[#This Row],[Possible 60+Mins Last Season]] * (38-MAX(GameRecord[GW]))/38) + (ARS[[#This Row],[60+Mins This Season]]/ARS[[#This Row],[Possible 60+Mins This Season]] * (MAX(GameRecord[GW]))/38)</f>
        <v>0.30555555555555558</v>
      </c>
      <c r="E17" s="12">
        <v>0.05</v>
      </c>
      <c r="F17" s="12">
        <v>0.06</v>
      </c>
      <c r="G17" s="12">
        <f>7/(1129/90)</f>
        <v>0.55801594331266613</v>
      </c>
      <c r="H17" s="11">
        <v>11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ARS[[#This Row],[xPoints Av.]]*ARS[[#This Row],[Regularity]]</f>
        <v>0.91300487156775911</v>
      </c>
      <c r="Q17" s="11" t="s">
        <v>11</v>
      </c>
    </row>
    <row r="18" spans="1:17" ht="30" customHeight="1" x14ac:dyDescent="0.45">
      <c r="A18" s="11" t="s">
        <v>73</v>
      </c>
      <c r="B18" s="11" t="s">
        <v>64</v>
      </c>
      <c r="C1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3.0371428571428574</v>
      </c>
      <c r="D18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8" s="12">
        <v>0.03</v>
      </c>
      <c r="F18" s="12">
        <v>0</v>
      </c>
      <c r="G18" s="12">
        <f>2/(840/90)</f>
        <v>0.21428571428571427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ARS[[#This Row],[xPoints Av.]]*ARS[[#This Row],[Regularity]]</f>
        <v>0.63939849624060152</v>
      </c>
      <c r="Q18" s="11" t="s">
        <v>11</v>
      </c>
    </row>
    <row r="19" spans="1:17" ht="30" customHeight="1" x14ac:dyDescent="0.45">
      <c r="A19" s="11" t="s">
        <v>83</v>
      </c>
      <c r="B19" s="11" t="s">
        <v>75</v>
      </c>
      <c r="C1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4.82431718061674</v>
      </c>
      <c r="D19" s="12">
        <f>(ARS[[#This Row],[60+Mins Last Season]]/ARS[[#This Row],[Possible 60+Mins Last Season]] * (38-MAX(GameRecord[GW]))/38) + (ARS[[#This Row],[60+Mins This Season]]/ARS[[#This Row],[Possible 60+Mins This Season]] * (MAX(GameRecord[GW]))/38)</f>
        <v>0.13157894736842105</v>
      </c>
      <c r="E19" s="12">
        <v>0.38</v>
      </c>
      <c r="F19" s="12">
        <v>0.22</v>
      </c>
      <c r="G19" s="12">
        <f>2/(681/90)</f>
        <v>0.26431718061674009</v>
      </c>
      <c r="H19" s="11">
        <v>5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ARS[[#This Row],[xPoints Av.]]*ARS[[#This Row],[Regularity]]</f>
        <v>0.63477857639693946</v>
      </c>
      <c r="Q19" s="11" t="s">
        <v>11</v>
      </c>
    </row>
    <row r="20" spans="1:17" ht="30" customHeight="1" x14ac:dyDescent="0.45">
      <c r="A20" s="11" t="s">
        <v>82</v>
      </c>
      <c r="B20" s="11" t="s">
        <v>75</v>
      </c>
      <c r="C2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2.2800000000000002</v>
      </c>
      <c r="D20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20" s="12">
        <v>0.02</v>
      </c>
      <c r="F20" s="12">
        <v>0.06</v>
      </c>
      <c r="G20" s="12">
        <f>0/(801/90)</f>
        <v>0</v>
      </c>
      <c r="H20" s="11">
        <v>8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ARS[[#This Row],[xPoints Av.]]*ARS[[#This Row],[Regularity]]</f>
        <v>0.48000000000000004</v>
      </c>
      <c r="Q20" s="11" t="s">
        <v>11</v>
      </c>
    </row>
    <row r="22" spans="1:17" ht="30" customHeight="1" x14ac:dyDescent="0.35">
      <c r="A22" s="24" t="s">
        <v>91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30" customHeight="1" x14ac:dyDescent="0.35">
      <c r="A23" s="2" t="s">
        <v>52</v>
      </c>
      <c r="B23" s="2" t="s">
        <v>86</v>
      </c>
      <c r="C23" s="2" t="s">
        <v>59</v>
      </c>
      <c r="D23" s="2" t="s">
        <v>54</v>
      </c>
      <c r="E23" s="2" t="s">
        <v>55</v>
      </c>
      <c r="F23" s="2" t="s">
        <v>56</v>
      </c>
      <c r="G23" s="2" t="s">
        <v>65</v>
      </c>
      <c r="H23" s="2" t="s">
        <v>88</v>
      </c>
      <c r="I23" s="2" t="s">
        <v>89</v>
      </c>
      <c r="J23" s="2" t="s">
        <v>57</v>
      </c>
      <c r="K23" s="2" t="s">
        <v>58</v>
      </c>
      <c r="L23" s="2" t="s">
        <v>66</v>
      </c>
      <c r="M23" s="2" t="s">
        <v>87</v>
      </c>
      <c r="N23" s="2" t="s">
        <v>90</v>
      </c>
      <c r="O23" s="2" t="s">
        <v>67</v>
      </c>
      <c r="P23" s="2" t="s">
        <v>53</v>
      </c>
      <c r="Q23" s="2" t="s">
        <v>0</v>
      </c>
    </row>
    <row r="24" spans="1:17" ht="30" customHeight="1" x14ac:dyDescent="0.45">
      <c r="A24" s="11" t="s">
        <v>93</v>
      </c>
      <c r="B24" s="11" t="s">
        <v>64</v>
      </c>
      <c r="C2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4.0458454249333728</v>
      </c>
      <c r="D24" s="12">
        <f>(AVL[[#This Row],[60+Mins Last Season]]/AVL[[#This Row],[Possible 60+Mins Last Season]] * (38-MAX(GameRecord[GW]))/38) + (AVL[[#This Row],[60+Mins This Season]]/AVL[[#This Row],[Possible 60+Mins This Season]] * (MAX(GameRecord[GW]))/38)</f>
        <v>1</v>
      </c>
      <c r="E24" s="12">
        <v>7.0000000000000007E-2</v>
      </c>
      <c r="F24" s="12">
        <v>0.08</v>
      </c>
      <c r="G24" s="12">
        <f>13/(3377/90)</f>
        <v>0.34646135623334318</v>
      </c>
      <c r="H24" s="11">
        <v>38</v>
      </c>
      <c r="I24" s="11">
        <v>38</v>
      </c>
      <c r="J24" s="11"/>
      <c r="K24" s="11"/>
      <c r="L24" s="11"/>
      <c r="M24" s="11"/>
      <c r="N24" s="11">
        <v>1</v>
      </c>
      <c r="O24" s="11"/>
      <c r="P24" s="12">
        <f>AVL[[#This Row],[xPoints Av.]]*AVL[[#This Row],[Regularity]]</f>
        <v>4.0458454249333728</v>
      </c>
      <c r="Q24" s="11" t="s">
        <v>19</v>
      </c>
    </row>
    <row r="25" spans="1:17" ht="30" customHeight="1" x14ac:dyDescent="0.45">
      <c r="A25" s="11" t="s">
        <v>104</v>
      </c>
      <c r="B25" s="11" t="s">
        <v>75</v>
      </c>
      <c r="C2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4.1447550866616432</v>
      </c>
      <c r="D25" s="12">
        <f>(AVL[[#This Row],[60+Mins Last Season]]/AVL[[#This Row],[Possible 60+Mins Last Season]] * (38-MAX(GameRecord[GW]))/38) + (AVL[[#This Row],[60+Mins This Season]]/AVL[[#This Row],[Possible 60+Mins This Season]] * (MAX(GameRecord[GW]))/38)</f>
        <v>0.84210526315789469</v>
      </c>
      <c r="E25" s="12">
        <v>0.22</v>
      </c>
      <c r="F25" s="12">
        <v>0.19</v>
      </c>
      <c r="G25" s="12">
        <f>7/(1327/90)</f>
        <v>0.47475508666164284</v>
      </c>
      <c r="H25" s="11">
        <v>16</v>
      </c>
      <c r="I25" s="11">
        <v>19</v>
      </c>
      <c r="J25" s="11"/>
      <c r="K25" s="11"/>
      <c r="L25" s="11"/>
      <c r="M25" s="11"/>
      <c r="N25" s="11">
        <v>1</v>
      </c>
      <c r="O25" s="11"/>
      <c r="P25" s="12">
        <f>AVL[[#This Row],[xPoints Av.]]*AVL[[#This Row],[Regularity]]</f>
        <v>3.4903200729782258</v>
      </c>
      <c r="Q25" s="11" t="s">
        <v>19</v>
      </c>
    </row>
    <row r="26" spans="1:17" ht="30" customHeight="1" x14ac:dyDescent="0.45">
      <c r="A26" s="11" t="s">
        <v>94</v>
      </c>
      <c r="B26" s="11" t="s">
        <v>64</v>
      </c>
      <c r="C2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3.6021580928481809</v>
      </c>
      <c r="D26" s="12">
        <f>(AVL[[#This Row],[60+Mins Last Season]]/AVL[[#This Row],[Possible 60+Mins Last Season]] * (38-MAX(GameRecord[GW]))/38) + (AVL[[#This Row],[60+Mins This Season]]/AVL[[#This Row],[Possible 60+Mins This Season]] * (MAX(GameRecord[GW]))/38)</f>
        <v>0.92105263157894735</v>
      </c>
      <c r="E26" s="12">
        <v>0.04</v>
      </c>
      <c r="F26" s="12">
        <v>0.04</v>
      </c>
      <c r="G26" s="12">
        <f>11/(3188/90)</f>
        <v>0.31053952321204514</v>
      </c>
      <c r="H26" s="11">
        <v>35</v>
      </c>
      <c r="I26" s="11">
        <v>38</v>
      </c>
      <c r="J26" s="11"/>
      <c r="K26" s="11"/>
      <c r="L26" s="11"/>
      <c r="M26" s="11"/>
      <c r="N26" s="11">
        <v>1</v>
      </c>
      <c r="O26" s="11"/>
      <c r="P26" s="12">
        <f>AVL[[#This Row],[xPoints Av.]]*AVL[[#This Row],[Regularity]]</f>
        <v>3.3177771907812192</v>
      </c>
      <c r="Q26" s="11" t="s">
        <v>19</v>
      </c>
    </row>
    <row r="27" spans="1:17" ht="30" customHeight="1" x14ac:dyDescent="0.45">
      <c r="A27" s="11" t="s">
        <v>109</v>
      </c>
      <c r="B27" s="11" t="s">
        <v>84</v>
      </c>
      <c r="C2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3.67</v>
      </c>
      <c r="D27" s="12">
        <f>(AVL[[#This Row],[60+Mins Last Season]]/AVL[[#This Row],[Possible 60+Mins Last Season]] * (38-MAX(GameRecord[GW]))/38) + (AVL[[#This Row],[60+Mins This Season]]/AVL[[#This Row],[Possible 60+Mins This Season]] * (MAX(GameRecord[GW]))/38)</f>
        <v>0.86842105263157898</v>
      </c>
      <c r="E27" s="12">
        <v>0.35</v>
      </c>
      <c r="F27" s="12">
        <v>0.09</v>
      </c>
      <c r="G27" s="12">
        <f>10/(2950/90)</f>
        <v>0.30508474576271188</v>
      </c>
      <c r="H27" s="11">
        <v>33</v>
      </c>
      <c r="I27" s="11">
        <v>38</v>
      </c>
      <c r="J27" s="11"/>
      <c r="K27" s="11"/>
      <c r="L27" s="11"/>
      <c r="M27" s="11"/>
      <c r="N27" s="11">
        <v>1</v>
      </c>
      <c r="O27" s="11"/>
      <c r="P27" s="12">
        <f>AVL[[#This Row],[xPoints Av.]]*AVL[[#This Row],[Regularity]]</f>
        <v>3.1871052631578949</v>
      </c>
      <c r="Q27" s="11" t="s">
        <v>19</v>
      </c>
    </row>
    <row r="28" spans="1:17" ht="30" customHeight="1" x14ac:dyDescent="0.45">
      <c r="A28" s="11" t="s">
        <v>92</v>
      </c>
      <c r="B28" s="11" t="s">
        <v>62</v>
      </c>
      <c r="C2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3.2222222222222223</v>
      </c>
      <c r="D28" s="12">
        <f>(AVL[[#This Row],[60+Mins Last Season]]/AVL[[#This Row],[Possible 60+Mins Last Season]] * (38-MAX(GameRecord[GW]))/38) + (AVL[[#This Row],[60+Mins This Season]]/AVL[[#This Row],[Possible 60+Mins This Season]] * (MAX(GameRecord[GW]))/38)</f>
        <v>0.97297297297297303</v>
      </c>
      <c r="E28" s="12">
        <v>0</v>
      </c>
      <c r="F28" s="12">
        <v>0</v>
      </c>
      <c r="G28" s="12">
        <f>11/(3240/90)</f>
        <v>0.30555555555555558</v>
      </c>
      <c r="H28" s="11">
        <v>36</v>
      </c>
      <c r="I28" s="11">
        <v>37</v>
      </c>
      <c r="J28" s="11"/>
      <c r="K28" s="11"/>
      <c r="L28" s="11"/>
      <c r="M28" s="11"/>
      <c r="N28" s="11">
        <v>1</v>
      </c>
      <c r="O28" s="11"/>
      <c r="P28" s="12">
        <f>AVL[[#This Row],[xPoints Av.]]*AVL[[#This Row],[Regularity]]</f>
        <v>3.1351351351351355</v>
      </c>
      <c r="Q28" s="11" t="s">
        <v>19</v>
      </c>
    </row>
    <row r="29" spans="1:17" ht="30" customHeight="1" x14ac:dyDescent="0.45">
      <c r="A29" s="11" t="s">
        <v>95</v>
      </c>
      <c r="B29" s="11" t="s">
        <v>64</v>
      </c>
      <c r="C2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3.662786885245902</v>
      </c>
      <c r="D29" s="12">
        <f>(AVL[[#This Row],[60+Mins Last Season]]/AVL[[#This Row],[Possible 60+Mins Last Season]] * (38-MAX(GameRecord[GW]))/38) + (AVL[[#This Row],[60+Mins This Season]]/AVL[[#This Row],[Possible 60+Mins This Season]] * (MAX(GameRecord[GW]))/38)</f>
        <v>0.8</v>
      </c>
      <c r="E29" s="12">
        <v>0.04</v>
      </c>
      <c r="F29" s="12">
        <v>0.13</v>
      </c>
      <c r="G29" s="12">
        <f>7/(2440/90)</f>
        <v>0.25819672131147542</v>
      </c>
      <c r="H29" s="11">
        <v>28</v>
      </c>
      <c r="I29" s="11">
        <v>35</v>
      </c>
      <c r="J29" s="11"/>
      <c r="K29" s="11"/>
      <c r="L29" s="11"/>
      <c r="M29" s="11"/>
      <c r="N29" s="11">
        <v>1</v>
      </c>
      <c r="O29" s="11"/>
      <c r="P29" s="12">
        <f>AVL[[#This Row],[xPoints Av.]]*AVL[[#This Row],[Regularity]]</f>
        <v>2.9302295081967218</v>
      </c>
      <c r="Q29" s="11" t="s">
        <v>19</v>
      </c>
    </row>
    <row r="30" spans="1:17" ht="30" customHeight="1" x14ac:dyDescent="0.45">
      <c r="A30" s="11" t="s">
        <v>100</v>
      </c>
      <c r="B30" s="11" t="s">
        <v>75</v>
      </c>
      <c r="C3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3.0212621359223299</v>
      </c>
      <c r="D30" s="12">
        <f>(AVL[[#This Row],[60+Mins Last Season]]/AVL[[#This Row],[Possible 60+Mins Last Season]] * (38-MAX(GameRecord[GW]))/38) + (AVL[[#This Row],[60+Mins This Season]]/AVL[[#This Row],[Possible 60+Mins This Season]] * (MAX(GameRecord[GW]))/38)</f>
        <v>0.89473684210526316</v>
      </c>
      <c r="E30" s="12">
        <v>0.05</v>
      </c>
      <c r="F30" s="12">
        <v>0.16</v>
      </c>
      <c r="G30" s="12">
        <f>10/(3090/90)</f>
        <v>0.29126213592233008</v>
      </c>
      <c r="H30" s="11">
        <v>34</v>
      </c>
      <c r="I30" s="11">
        <v>38</v>
      </c>
      <c r="J30" s="11"/>
      <c r="K30" s="11"/>
      <c r="L30" s="11"/>
      <c r="M30" s="11"/>
      <c r="N30" s="11">
        <v>1</v>
      </c>
      <c r="O30" s="11"/>
      <c r="P30" s="12">
        <f>AVL[[#This Row],[xPoints Av.]]*AVL[[#This Row],[Regularity]]</f>
        <v>2.7032345426673481</v>
      </c>
      <c r="Q30" s="11" t="s">
        <v>19</v>
      </c>
    </row>
    <row r="31" spans="1:17" ht="30" customHeight="1" x14ac:dyDescent="0.45">
      <c r="A31" s="11" t="s">
        <v>96</v>
      </c>
      <c r="B31" s="11" t="s">
        <v>64</v>
      </c>
      <c r="C3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3.4326968106580544</v>
      </c>
      <c r="D31" s="12">
        <f>(AVL[[#This Row],[60+Mins Last Season]]/AVL[[#This Row],[Possible 60+Mins Last Season]] * (38-MAX(GameRecord[GW]))/38) + (AVL[[#This Row],[60+Mins This Season]]/AVL[[#This Row],[Possible 60+Mins This Season]] * (MAX(GameRecord[GW]))/38)</f>
        <v>0.72222222222222221</v>
      </c>
      <c r="E31" s="12">
        <v>0.04</v>
      </c>
      <c r="F31" s="12">
        <v>0.01</v>
      </c>
      <c r="G31" s="12">
        <f>8/(2477/90)</f>
        <v>0.29067420266451355</v>
      </c>
      <c r="H31" s="11">
        <v>26</v>
      </c>
      <c r="I31" s="11">
        <v>36</v>
      </c>
      <c r="J31" s="11"/>
      <c r="K31" s="11"/>
      <c r="L31" s="11"/>
      <c r="M31" s="11"/>
      <c r="N31" s="11">
        <v>1</v>
      </c>
      <c r="O31" s="11"/>
      <c r="P31" s="12">
        <f>AVL[[#This Row],[xPoints Av.]]*AVL[[#This Row],[Regularity]]</f>
        <v>2.4791699188085947</v>
      </c>
      <c r="Q31" s="11" t="s">
        <v>19</v>
      </c>
    </row>
    <row r="32" spans="1:17" ht="30" customHeight="1" x14ac:dyDescent="0.45">
      <c r="A32" s="11" t="s">
        <v>101</v>
      </c>
      <c r="B32" s="11" t="s">
        <v>75</v>
      </c>
      <c r="C3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3.3481338742393509</v>
      </c>
      <c r="D32" s="12">
        <f>(AVL[[#This Row],[60+Mins Last Season]]/AVL[[#This Row],[Possible 60+Mins Last Season]] * (38-MAX(GameRecord[GW]))/38) + (AVL[[#This Row],[60+Mins This Season]]/AVL[[#This Row],[Possible 60+Mins This Season]] * (MAX(GameRecord[GW]))/38)</f>
        <v>0.71052631578947367</v>
      </c>
      <c r="E32" s="12">
        <v>0.14000000000000001</v>
      </c>
      <c r="F32" s="12">
        <v>7.0000000000000007E-2</v>
      </c>
      <c r="G32" s="12">
        <f>12/(2465/90)</f>
        <v>0.43813387423935091</v>
      </c>
      <c r="H32" s="11">
        <v>27</v>
      </c>
      <c r="I32" s="11">
        <v>38</v>
      </c>
      <c r="J32" s="11"/>
      <c r="K32" s="11"/>
      <c r="L32" s="11"/>
      <c r="M32" s="11"/>
      <c r="N32" s="11">
        <v>1</v>
      </c>
      <c r="O32" s="11"/>
      <c r="P32" s="12">
        <f>AVL[[#This Row],[xPoints Av.]]*AVL[[#This Row],[Regularity]]</f>
        <v>2.3789372264332229</v>
      </c>
      <c r="Q32" s="11" t="s">
        <v>19</v>
      </c>
    </row>
    <row r="33" spans="1:17" ht="30" customHeight="1" x14ac:dyDescent="0.45">
      <c r="A33" s="13" t="s">
        <v>103</v>
      </c>
      <c r="B33" s="11" t="s">
        <v>75</v>
      </c>
      <c r="C33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2.9214917127071827</v>
      </c>
      <c r="D33" s="12">
        <f>(AVL[[#This Row],[60+Mins Last Season]]/AVL[[#This Row],[Possible 60+Mins Last Season]] * (38-MAX(GameRecord[GW]))/38) + (AVL[[#This Row],[60+Mins This Season]]/AVL[[#This Row],[Possible 60+Mins This Season]] * (MAX(GameRecord[GW]))/38)</f>
        <v>0.78947368421052633</v>
      </c>
      <c r="E33" s="12">
        <v>7.0000000000000007E-2</v>
      </c>
      <c r="F33" s="12">
        <v>0.08</v>
      </c>
      <c r="G33" s="12">
        <f>10/(2715/90)</f>
        <v>0.33149171270718231</v>
      </c>
      <c r="H33" s="11">
        <v>30</v>
      </c>
      <c r="I33" s="11">
        <v>38</v>
      </c>
      <c r="J33" s="11"/>
      <c r="K33" s="11"/>
      <c r="L33" s="11"/>
      <c r="M33" s="11"/>
      <c r="N33" s="11">
        <v>1</v>
      </c>
      <c r="O33" s="11"/>
      <c r="P33" s="12">
        <f>AVL[[#This Row],[xPoints Av.]]*AVL[[#This Row],[Regularity]]</f>
        <v>2.3064408258214599</v>
      </c>
      <c r="Q33" s="11" t="s">
        <v>19</v>
      </c>
    </row>
    <row r="34" spans="1:17" ht="30" customHeight="1" x14ac:dyDescent="0.45">
      <c r="A34" s="11" t="s">
        <v>110</v>
      </c>
      <c r="B34" s="11" t="s">
        <v>84</v>
      </c>
      <c r="C3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3.49</v>
      </c>
      <c r="D34" s="12">
        <f>(AVL[[#This Row],[60+Mins Last Season]]/AVL[[#This Row],[Possible 60+Mins Last Season]] * (38-MAX(GameRecord[GW]))/38) + (AVL[[#This Row],[60+Mins This Season]]/AVL[[#This Row],[Possible 60+Mins This Season]] * (MAX(GameRecord[GW]))/38)</f>
        <v>0.57894736842105265</v>
      </c>
      <c r="E34" s="12">
        <v>0.32</v>
      </c>
      <c r="F34" s="12">
        <v>7.0000000000000007E-2</v>
      </c>
      <c r="G34" s="12">
        <f>10/(1891/90)</f>
        <v>0.47593865679534636</v>
      </c>
      <c r="H34" s="11">
        <v>22</v>
      </c>
      <c r="I34" s="11">
        <v>38</v>
      </c>
      <c r="J34" s="11"/>
      <c r="K34" s="11"/>
      <c r="L34" s="11"/>
      <c r="M34" s="11"/>
      <c r="N34" s="11">
        <v>1</v>
      </c>
      <c r="O34" s="11"/>
      <c r="P34" s="12">
        <f>AVL[[#This Row],[xPoints Av.]]*AVL[[#This Row],[Regularity]]</f>
        <v>2.0205263157894739</v>
      </c>
      <c r="Q34" s="11" t="s">
        <v>19</v>
      </c>
    </row>
    <row r="35" spans="1:17" ht="30" customHeight="1" x14ac:dyDescent="0.45">
      <c r="A35" s="11" t="s">
        <v>102</v>
      </c>
      <c r="B35" s="11" t="s">
        <v>75</v>
      </c>
      <c r="C3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3.6938632750397455</v>
      </c>
      <c r="D35" s="12">
        <f>(AVL[[#This Row],[60+Mins Last Season]]/AVL[[#This Row],[Possible 60+Mins Last Season]] * (38-MAX(GameRecord[GW]))/38) + (AVL[[#This Row],[60+Mins This Season]]/AVL[[#This Row],[Possible 60+Mins This Season]] * (MAX(GameRecord[GW]))/38)</f>
        <v>0.52631578947368418</v>
      </c>
      <c r="E35" s="12">
        <v>0.14000000000000001</v>
      </c>
      <c r="F35" s="12">
        <v>0.22</v>
      </c>
      <c r="G35" s="12">
        <f>7/(1887/90)</f>
        <v>0.33386327503974567</v>
      </c>
      <c r="H35" s="11">
        <v>20</v>
      </c>
      <c r="I35" s="11">
        <v>38</v>
      </c>
      <c r="J35" s="11"/>
      <c r="K35" s="11"/>
      <c r="L35" s="11"/>
      <c r="M35" s="11"/>
      <c r="N35" s="11">
        <v>1</v>
      </c>
      <c r="O35" s="11"/>
      <c r="P35" s="12">
        <f>AVL[[#This Row],[xPoints Av.]]*AVL[[#This Row],[Regularity]]</f>
        <v>1.9441385658103922</v>
      </c>
      <c r="Q35" s="11" t="s">
        <v>19</v>
      </c>
    </row>
    <row r="36" spans="1:17" ht="30" customHeight="1" x14ac:dyDescent="0.45">
      <c r="A36" s="11" t="s">
        <v>97</v>
      </c>
      <c r="B36" s="11" t="s">
        <v>64</v>
      </c>
      <c r="C3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3.5269367909238252</v>
      </c>
      <c r="D36" s="12">
        <f>(AVL[[#This Row],[60+Mins Last Season]]/AVL[[#This Row],[Possible 60+Mins Last Season]] * (38-MAX(GameRecord[GW]))/38) + (AVL[[#This Row],[60+Mins This Season]]/AVL[[#This Row],[Possible 60+Mins This Season]] * (MAX(GameRecord[GW]))/38)</f>
        <v>0.31578947368421051</v>
      </c>
      <c r="E36" s="12">
        <v>0.03</v>
      </c>
      <c r="F36" s="12">
        <v>0.06</v>
      </c>
      <c r="G36" s="12">
        <f>4/(1234/90)</f>
        <v>0.29173419773095627</v>
      </c>
      <c r="H36" s="11">
        <v>12</v>
      </c>
      <c r="I36" s="11">
        <v>38</v>
      </c>
      <c r="J36" s="11"/>
      <c r="K36" s="11"/>
      <c r="L36" s="11"/>
      <c r="M36" s="11"/>
      <c r="N36" s="11">
        <v>1</v>
      </c>
      <c r="O36" s="11"/>
      <c r="P36" s="12">
        <f>AVL[[#This Row],[xPoints Av.]]*AVL[[#This Row],[Regularity]]</f>
        <v>1.1137695129233132</v>
      </c>
      <c r="Q36" s="11" t="s">
        <v>19</v>
      </c>
    </row>
    <row r="37" spans="1:17" ht="30" customHeight="1" x14ac:dyDescent="0.45">
      <c r="A37" s="11" t="s">
        <v>98</v>
      </c>
      <c r="B37" s="11" t="s">
        <v>64</v>
      </c>
      <c r="C3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3.5914414414414417</v>
      </c>
      <c r="D37" s="12">
        <f>(AVL[[#This Row],[60+Mins Last Season]]/AVL[[#This Row],[Possible 60+Mins Last Season]] * (38-MAX(GameRecord[GW]))/38) + (AVL[[#This Row],[60+Mins This Season]]/AVL[[#This Row],[Possible 60+Mins This Season]] * (MAX(GameRecord[GW]))/38)</f>
        <v>0.28947368421052633</v>
      </c>
      <c r="E37" s="12">
        <v>0.02</v>
      </c>
      <c r="F37" s="12">
        <v>0.01</v>
      </c>
      <c r="G37" s="12">
        <f>4/(999/90)</f>
        <v>0.3603603603603604</v>
      </c>
      <c r="H37" s="11">
        <v>11</v>
      </c>
      <c r="I37" s="11">
        <v>38</v>
      </c>
      <c r="J37" s="11"/>
      <c r="K37" s="11"/>
      <c r="L37" s="11"/>
      <c r="M37" s="11"/>
      <c r="N37" s="11">
        <v>1</v>
      </c>
      <c r="O37" s="11"/>
      <c r="P37" s="12">
        <f>AVL[[#This Row],[xPoints Av.]]*AVL[[#This Row],[Regularity]]</f>
        <v>1.0396277856804175</v>
      </c>
      <c r="Q37" s="11" t="s">
        <v>19</v>
      </c>
    </row>
    <row r="38" spans="1:17" ht="30" customHeight="1" x14ac:dyDescent="0.45">
      <c r="A38" s="11" t="s">
        <v>106</v>
      </c>
      <c r="B38" s="11" t="s">
        <v>75</v>
      </c>
      <c r="C3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2.200222469410456</v>
      </c>
      <c r="D38" s="12">
        <f>(AVL[[#This Row],[60+Mins Last Season]]/AVL[[#This Row],[Possible 60+Mins Last Season]] * (38-MAX(GameRecord[GW]))/38) + (AVL[[#This Row],[60+Mins This Season]]/AVL[[#This Row],[Possible 60+Mins This Season]] * (MAX(GameRecord[GW]))/38)</f>
        <v>0.39130434782608697</v>
      </c>
      <c r="E38" s="12">
        <v>0</v>
      </c>
      <c r="F38" s="12">
        <v>0</v>
      </c>
      <c r="G38" s="12">
        <f>2/(899/90)</f>
        <v>0.20022246941045607</v>
      </c>
      <c r="H38" s="11">
        <v>9</v>
      </c>
      <c r="I38" s="11">
        <v>23</v>
      </c>
      <c r="J38" s="11"/>
      <c r="K38" s="11"/>
      <c r="L38" s="11"/>
      <c r="M38" s="11"/>
      <c r="N38" s="11">
        <v>1</v>
      </c>
      <c r="O38" s="11"/>
      <c r="P38" s="12">
        <f>AVL[[#This Row],[xPoints Av.]]*AVL[[#This Row],[Regularity]]</f>
        <v>0.86095661846496108</v>
      </c>
      <c r="Q38" s="11" t="s">
        <v>19</v>
      </c>
    </row>
    <row r="39" spans="1:17" ht="30" customHeight="1" x14ac:dyDescent="0.45">
      <c r="A39" s="11" t="s">
        <v>105</v>
      </c>
      <c r="B39" s="11" t="s">
        <v>75</v>
      </c>
      <c r="C3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3.4299999999999997</v>
      </c>
      <c r="D39" s="12">
        <f>(AVL[[#This Row],[60+Mins Last Season]]/AVL[[#This Row],[Possible 60+Mins Last Season]] * (38-MAX(GameRecord[GW]))/38) + (AVL[[#This Row],[60+Mins This Season]]/AVL[[#This Row],[Possible 60+Mins This Season]] * (MAX(GameRecord[GW]))/38)</f>
        <v>0.17241379310344829</v>
      </c>
      <c r="E39" s="12">
        <v>0.19</v>
      </c>
      <c r="F39" s="12">
        <v>0.08</v>
      </c>
      <c r="G39" s="12">
        <f>2/(750/90)</f>
        <v>0.24</v>
      </c>
      <c r="H39" s="11">
        <v>5</v>
      </c>
      <c r="I39" s="11">
        <v>29</v>
      </c>
      <c r="J39" s="11"/>
      <c r="K39" s="11"/>
      <c r="L39" s="11"/>
      <c r="M39" s="11"/>
      <c r="N39" s="11">
        <v>1</v>
      </c>
      <c r="O39" s="11"/>
      <c r="P39" s="12">
        <f>AVL[[#This Row],[xPoints Av.]]*AVL[[#This Row],[Regularity]]</f>
        <v>0.5913793103448276</v>
      </c>
      <c r="Q39" s="11" t="s">
        <v>19</v>
      </c>
    </row>
    <row r="40" spans="1:17" ht="30" customHeight="1" x14ac:dyDescent="0.45">
      <c r="A40" s="11" t="s">
        <v>99</v>
      </c>
      <c r="B40" s="11" t="s">
        <v>64</v>
      </c>
      <c r="C4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2.9668010075566751</v>
      </c>
      <c r="D40" s="12">
        <f>(AVL[[#This Row],[60+Mins Last Season]]/AVL[[#This Row],[Possible 60+Mins Last Season]] * (38-MAX(GameRecord[GW]))/38) + (AVL[[#This Row],[60+Mins This Season]]/AVL[[#This Row],[Possible 60+Mins This Season]] * (MAX(GameRecord[GW]))/38)</f>
        <v>0.10526315789473684</v>
      </c>
      <c r="E40" s="12">
        <v>0.01</v>
      </c>
      <c r="F40" s="12">
        <v>0</v>
      </c>
      <c r="G40" s="12">
        <f>1/(397/90)</f>
        <v>0.22670025188916876</v>
      </c>
      <c r="H40" s="11">
        <v>4</v>
      </c>
      <c r="I40" s="11">
        <v>38</v>
      </c>
      <c r="J40" s="11"/>
      <c r="K40" s="11"/>
      <c r="L40" s="11"/>
      <c r="M40" s="11"/>
      <c r="N40" s="11">
        <v>1</v>
      </c>
      <c r="O40" s="11"/>
      <c r="P40" s="12">
        <f>AVL[[#This Row],[xPoints Av.]]*AVL[[#This Row],[Regularity]]</f>
        <v>0.31229484290070264</v>
      </c>
      <c r="Q40" s="11" t="s">
        <v>19</v>
      </c>
    </row>
    <row r="41" spans="1:17" ht="30" customHeight="1" x14ac:dyDescent="0.45">
      <c r="A41" s="13" t="s">
        <v>107</v>
      </c>
      <c r="B41" s="11" t="s">
        <v>75</v>
      </c>
      <c r="C4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</v>
      </c>
      <c r="D41" s="12">
        <f>(AVL[[#This Row],[60+Mins Last Season]]/AVL[[#This Row],[Possible 60+Mins Last Season]] * (38-MAX(GameRecord[GW]))/38) + (AVL[[#This Row],[60+Mins This Season]]/AVL[[#This Row],[Possible 60+Mins This Season]] * (MAX(GameRecord[GW]))/38)</f>
        <v>2.6315789473684209E-2</v>
      </c>
      <c r="E41" s="12">
        <v>0.21</v>
      </c>
      <c r="F41" s="12">
        <v>0.33</v>
      </c>
      <c r="G41" s="12">
        <f>0/(291/90)</f>
        <v>0</v>
      </c>
      <c r="H41" s="11">
        <v>1</v>
      </c>
      <c r="I41" s="11">
        <v>38</v>
      </c>
      <c r="J41" s="11"/>
      <c r="K41" s="11"/>
      <c r="L41" s="11"/>
      <c r="M41" s="11"/>
      <c r="N41" s="11">
        <v>1</v>
      </c>
      <c r="O41" s="11"/>
      <c r="P41" s="12">
        <f>AVL[[#This Row],[xPoints Av.]]*AVL[[#This Row],[Regularity]]</f>
        <v>0.10631578947368421</v>
      </c>
      <c r="Q41" s="11" t="s">
        <v>19</v>
      </c>
    </row>
    <row r="42" spans="1:17" ht="30" customHeight="1" x14ac:dyDescent="0.45">
      <c r="A42" s="11" t="s">
        <v>108</v>
      </c>
      <c r="B42" s="11" t="s">
        <v>75</v>
      </c>
      <c r="C4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2.6</v>
      </c>
      <c r="D42" s="12">
        <f>(AVL[[#This Row],[60+Mins Last Season]]/AVL[[#This Row],[Possible 60+Mins Last Season]] * (38-MAX(GameRecord[GW]))/38) + (AVL[[#This Row],[60+Mins This Season]]/AVL[[#This Row],[Possible 60+Mins This Season]] * (MAX(GameRecord[GW]))/38)</f>
        <v>2.777777777777778E-2</v>
      </c>
      <c r="E42" s="12">
        <v>0.12</v>
      </c>
      <c r="F42" s="12">
        <v>0</v>
      </c>
      <c r="G42" s="12">
        <f>0/(212/90)</f>
        <v>0</v>
      </c>
      <c r="H42" s="11">
        <v>1</v>
      </c>
      <c r="I42" s="11">
        <v>36</v>
      </c>
      <c r="J42" s="11"/>
      <c r="K42" s="11"/>
      <c r="L42" s="11"/>
      <c r="M42" s="11"/>
      <c r="N42" s="11">
        <v>1</v>
      </c>
      <c r="O42" s="11"/>
      <c r="P42" s="12">
        <f>AVL[[#This Row],[xPoints Av.]]*AVL[[#This Row],[Regularity]]</f>
        <v>7.2222222222222229E-2</v>
      </c>
      <c r="Q42" s="11" t="s">
        <v>19</v>
      </c>
    </row>
    <row r="44" spans="1:17" ht="30" customHeight="1" x14ac:dyDescent="0.35">
      <c r="A44" s="24" t="s">
        <v>111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ht="30" customHeight="1" x14ac:dyDescent="0.35">
      <c r="A45" s="2" t="s">
        <v>52</v>
      </c>
      <c r="B45" s="2" t="s">
        <v>86</v>
      </c>
      <c r="C45" s="2" t="s">
        <v>59</v>
      </c>
      <c r="D45" s="2" t="s">
        <v>54</v>
      </c>
      <c r="E45" s="2" t="s">
        <v>55</v>
      </c>
      <c r="F45" s="2" t="s">
        <v>56</v>
      </c>
      <c r="G45" s="2" t="s">
        <v>65</v>
      </c>
      <c r="H45" s="2" t="s">
        <v>88</v>
      </c>
      <c r="I45" s="2" t="s">
        <v>89</v>
      </c>
      <c r="J45" s="2" t="s">
        <v>57</v>
      </c>
      <c r="K45" s="2" t="s">
        <v>58</v>
      </c>
      <c r="L45" s="2" t="s">
        <v>66</v>
      </c>
      <c r="M45" s="2" t="s">
        <v>87</v>
      </c>
      <c r="N45" s="2" t="s">
        <v>90</v>
      </c>
      <c r="O45" s="2" t="s">
        <v>67</v>
      </c>
      <c r="P45" s="2" t="s">
        <v>53</v>
      </c>
      <c r="Q45" s="2" t="s">
        <v>0</v>
      </c>
    </row>
    <row r="46" spans="1:17" ht="30" customHeight="1" x14ac:dyDescent="0.45">
      <c r="A46" s="11" t="s">
        <v>113</v>
      </c>
      <c r="B46" s="11" t="s">
        <v>64</v>
      </c>
      <c r="C4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3.6472086720867209</v>
      </c>
      <c r="D46" s="12">
        <f>(BRE[[#This Row],[60+Mins Last Season]]/BRE[[#This Row],[Possible 60+Mins Last Season]] * (38-MAX(GameRecord[GW]))/38) + (BRE[[#This Row],[60+Mins This Season]]/BRE[[#This Row],[Possible 60+Mins This Season]] * (MAX(GameRecord[GW]))/38)</f>
        <v>0.97368421052631582</v>
      </c>
      <c r="E46" s="12">
        <v>0.12</v>
      </c>
      <c r="F46" s="12">
        <v>0.02</v>
      </c>
      <c r="G46" s="12">
        <f>8/(3321/90)</f>
        <v>0.21680216802168023</v>
      </c>
      <c r="H46" s="11">
        <v>37</v>
      </c>
      <c r="I46" s="11">
        <v>38</v>
      </c>
      <c r="J46" s="11"/>
      <c r="K46" s="11"/>
      <c r="L46" s="11"/>
      <c r="M46" s="11"/>
      <c r="N46" s="11">
        <v>1</v>
      </c>
      <c r="O46" s="11"/>
      <c r="P46" s="12">
        <f>BRE[[#This Row],[xPoints Av.]]*BRE[[#This Row],[Regularity]]</f>
        <v>3.5512294965054916</v>
      </c>
      <c r="Q46" s="11" t="s">
        <v>18</v>
      </c>
    </row>
    <row r="47" spans="1:17" ht="30" customHeight="1" x14ac:dyDescent="0.45">
      <c r="A47" s="11" t="s">
        <v>127</v>
      </c>
      <c r="B47" s="11" t="s">
        <v>84</v>
      </c>
      <c r="C4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4.17</v>
      </c>
      <c r="D47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7" s="12">
        <v>0.37</v>
      </c>
      <c r="F47" s="12">
        <v>0.23</v>
      </c>
      <c r="G47" s="12">
        <f>8/(2908/90)</f>
        <v>0.24759284731774417</v>
      </c>
      <c r="H47" s="11">
        <v>32</v>
      </c>
      <c r="I47" s="11">
        <v>38</v>
      </c>
      <c r="J47" s="11"/>
      <c r="K47" s="11"/>
      <c r="L47" s="11"/>
      <c r="M47" s="11"/>
      <c r="N47" s="11">
        <v>1</v>
      </c>
      <c r="O47" s="11"/>
      <c r="P47" s="12">
        <f>BRE[[#This Row],[xPoints Av.]]*BRE[[#This Row],[Regularity]]</f>
        <v>3.5115789473684207</v>
      </c>
      <c r="Q47" s="11" t="s">
        <v>18</v>
      </c>
    </row>
    <row r="48" spans="1:17" ht="30" customHeight="1" x14ac:dyDescent="0.45">
      <c r="A48" s="11" t="s">
        <v>118</v>
      </c>
      <c r="B48" s="11" t="s">
        <v>75</v>
      </c>
      <c r="C4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4.1388296041308088</v>
      </c>
      <c r="D48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8" s="12">
        <v>0.3</v>
      </c>
      <c r="F48" s="12">
        <v>0.12</v>
      </c>
      <c r="G48" s="12">
        <f>9/(2905/90)</f>
        <v>0.27882960413080893</v>
      </c>
      <c r="H48" s="11">
        <v>32</v>
      </c>
      <c r="I48" s="11">
        <v>38</v>
      </c>
      <c r="J48" s="11"/>
      <c r="K48" s="11"/>
      <c r="L48" s="11"/>
      <c r="M48" s="11"/>
      <c r="N48" s="11">
        <v>1</v>
      </c>
      <c r="O48" s="11"/>
      <c r="P48" s="12">
        <f>BRE[[#This Row],[xPoints Av.]]*BRE[[#This Row],[Regularity]]</f>
        <v>3.4853301929522598</v>
      </c>
      <c r="Q48" s="11" t="s">
        <v>18</v>
      </c>
    </row>
    <row r="49" spans="1:17" ht="30" customHeight="1" x14ac:dyDescent="0.45">
      <c r="A49" s="11" t="s">
        <v>112</v>
      </c>
      <c r="B49" s="11" t="s">
        <v>62</v>
      </c>
      <c r="C4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3.333333333333333</v>
      </c>
      <c r="D49" s="12">
        <f>(BRE[[#This Row],[60+Mins Last Season]]/BRE[[#This Row],[Possible 60+Mins Last Season]] * (38-MAX(GameRecord[GW]))/38) + (BRE[[#This Row],[60+Mins This Season]]/BRE[[#This Row],[Possible 60+Mins This Season]] * (MAX(GameRecord[GW]))/38)</f>
        <v>1</v>
      </c>
      <c r="E49" s="12">
        <v>0</v>
      </c>
      <c r="F49" s="12">
        <v>0</v>
      </c>
      <c r="G49" s="12">
        <f>8/(2160/90)</f>
        <v>0.33333333333333331</v>
      </c>
      <c r="H49" s="11">
        <v>24</v>
      </c>
      <c r="I49" s="11">
        <v>24</v>
      </c>
      <c r="J49" s="11"/>
      <c r="K49" s="11"/>
      <c r="L49" s="11"/>
      <c r="M49" s="11"/>
      <c r="N49" s="11">
        <v>1</v>
      </c>
      <c r="O49" s="11"/>
      <c r="P49" s="12">
        <f>BRE[[#This Row],[xPoints Av.]]*BRE[[#This Row],[Regularity]]</f>
        <v>3.333333333333333</v>
      </c>
      <c r="Q49" s="11" t="s">
        <v>18</v>
      </c>
    </row>
    <row r="50" spans="1:17" ht="30" customHeight="1" x14ac:dyDescent="0.45">
      <c r="A50" s="11" t="s">
        <v>114</v>
      </c>
      <c r="B50" s="11" t="s">
        <v>64</v>
      </c>
      <c r="C5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3.7075675675675677</v>
      </c>
      <c r="D50" s="12">
        <f>(BRE[[#This Row],[60+Mins Last Season]]/BRE[[#This Row],[Possible 60+Mins Last Season]] * (38-MAX(GameRecord[GW]))/38) + (BRE[[#This Row],[60+Mins This Season]]/BRE[[#This Row],[Possible 60+Mins This Season]] * (MAX(GameRecord[GW]))/38)</f>
        <v>0.81578947368421051</v>
      </c>
      <c r="E50" s="12">
        <v>0.06</v>
      </c>
      <c r="F50" s="12">
        <v>0.06</v>
      </c>
      <c r="G50" s="12">
        <f>9/(2775/90)</f>
        <v>0.29189189189189191</v>
      </c>
      <c r="H50" s="11">
        <v>31</v>
      </c>
      <c r="I50" s="11">
        <v>38</v>
      </c>
      <c r="J50" s="11"/>
      <c r="K50" s="11"/>
      <c r="L50" s="11"/>
      <c r="M50" s="11"/>
      <c r="N50" s="11">
        <v>1</v>
      </c>
      <c r="O50" s="11"/>
      <c r="P50" s="12">
        <f>BRE[[#This Row],[xPoints Av.]]*BRE[[#This Row],[Regularity]]</f>
        <v>3.0245945945945945</v>
      </c>
      <c r="Q50" s="11" t="s">
        <v>18</v>
      </c>
    </row>
    <row r="51" spans="1:17" ht="30" customHeight="1" x14ac:dyDescent="0.45">
      <c r="A51" s="11" t="s">
        <v>119</v>
      </c>
      <c r="B51" s="11" t="s">
        <v>75</v>
      </c>
      <c r="C5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3.3457563850687624</v>
      </c>
      <c r="D51" s="12">
        <f>(BRE[[#This Row],[60+Mins Last Season]]/BRE[[#This Row],[Possible 60+Mins Last Season]] * (38-MAX(GameRecord[GW]))/38) + (BRE[[#This Row],[60+Mins This Season]]/BRE[[#This Row],[Possible 60+Mins This Season]] * (MAX(GameRecord[GW]))/38)</f>
        <v>0.89473684210526316</v>
      </c>
      <c r="E51" s="12">
        <v>0.15</v>
      </c>
      <c r="F51" s="12">
        <v>0.12</v>
      </c>
      <c r="G51" s="12">
        <f>8/(3054/90)</f>
        <v>0.23575638506876231</v>
      </c>
      <c r="H51" s="11">
        <v>34</v>
      </c>
      <c r="I51" s="11">
        <v>38</v>
      </c>
      <c r="J51" s="11"/>
      <c r="K51" s="11"/>
      <c r="L51" s="11"/>
      <c r="M51" s="11"/>
      <c r="N51" s="11">
        <v>1</v>
      </c>
      <c r="O51" s="11"/>
      <c r="P51" s="12">
        <f>BRE[[#This Row],[xPoints Av.]]*BRE[[#This Row],[Regularity]]</f>
        <v>2.9935715024299454</v>
      </c>
      <c r="Q51" s="11" t="s">
        <v>18</v>
      </c>
    </row>
    <row r="52" spans="1:17" ht="30" customHeight="1" x14ac:dyDescent="0.45">
      <c r="A52" s="11" t="s">
        <v>122</v>
      </c>
      <c r="B52" s="11" t="s">
        <v>75</v>
      </c>
      <c r="C52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4.1637953091684441</v>
      </c>
      <c r="D52" s="12">
        <f>(BRE[[#This Row],[60+Mins Last Season]]/BRE[[#This Row],[Possible 60+Mins Last Season]] * (38-MAX(GameRecord[GW]))/38) + (BRE[[#This Row],[60+Mins This Season]]/BRE[[#This Row],[Possible 60+Mins This Season]] * (MAX(GameRecord[GW]))/38)</f>
        <v>0.66666666666666663</v>
      </c>
      <c r="E52" s="12">
        <v>0.14000000000000001</v>
      </c>
      <c r="F52" s="12">
        <v>0.36</v>
      </c>
      <c r="G52" s="12">
        <f>4/(938/90)</f>
        <v>0.38379530916844351</v>
      </c>
      <c r="H52" s="11">
        <v>10</v>
      </c>
      <c r="I52" s="11">
        <v>15</v>
      </c>
      <c r="J52" s="11"/>
      <c r="K52" s="11"/>
      <c r="L52" s="11"/>
      <c r="M52" s="11"/>
      <c r="N52" s="11">
        <v>1</v>
      </c>
      <c r="O52" s="11"/>
      <c r="P52" s="12">
        <f>BRE[[#This Row],[xPoints Av.]]*BRE[[#This Row],[Regularity]]</f>
        <v>2.7758635394456292</v>
      </c>
      <c r="Q52" s="11" t="s">
        <v>18</v>
      </c>
    </row>
    <row r="53" spans="1:17" ht="30" customHeight="1" x14ac:dyDescent="0.45">
      <c r="A53" s="11" t="s">
        <v>115</v>
      </c>
      <c r="B53" s="11" t="s">
        <v>64</v>
      </c>
      <c r="C53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3.4754120267260578</v>
      </c>
      <c r="D53" s="12">
        <f>(BRE[[#This Row],[60+Mins Last Season]]/BRE[[#This Row],[Possible 60+Mins Last Season]] * (38-MAX(GameRecord[GW]))/38) + (BRE[[#This Row],[60+Mins This Season]]/BRE[[#This Row],[Possible 60+Mins This Season]] * (MAX(GameRecord[GW]))/38)</f>
        <v>0.76315789473684215</v>
      </c>
      <c r="E53" s="12">
        <v>0.06</v>
      </c>
      <c r="F53" s="12">
        <v>0.06</v>
      </c>
      <c r="G53" s="12">
        <f>7/(2694/90)</f>
        <v>0.23385300668151449</v>
      </c>
      <c r="H53" s="11">
        <v>29</v>
      </c>
      <c r="I53" s="11">
        <v>38</v>
      </c>
      <c r="J53" s="11"/>
      <c r="K53" s="11"/>
      <c r="L53" s="11"/>
      <c r="M53" s="11"/>
      <c r="N53" s="11">
        <v>1</v>
      </c>
      <c r="O53" s="11"/>
      <c r="P53" s="12">
        <f>BRE[[#This Row],[xPoints Av.]]*BRE[[#This Row],[Regularity]]</f>
        <v>2.6522881256593602</v>
      </c>
      <c r="Q53" s="11" t="s">
        <v>18</v>
      </c>
    </row>
    <row r="54" spans="1:17" ht="30" customHeight="1" x14ac:dyDescent="0.45">
      <c r="A54" s="11" t="s">
        <v>116</v>
      </c>
      <c r="B54" s="11" t="s">
        <v>64</v>
      </c>
      <c r="C54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4.0436090225563905</v>
      </c>
      <c r="D54" s="12">
        <f>(BRE[[#This Row],[60+Mins Last Season]]/BRE[[#This Row],[Possible 60+Mins Last Season]] * (38-MAX(GameRecord[GW]))/38) + (BRE[[#This Row],[60+Mins This Season]]/BRE[[#This Row],[Possible 60+Mins This Season]] * (MAX(GameRecord[GW]))/38)</f>
        <v>0.57894736842105265</v>
      </c>
      <c r="E54" s="12">
        <v>0.05</v>
      </c>
      <c r="F54" s="12">
        <v>0.1</v>
      </c>
      <c r="G54" s="12">
        <f>8/(1995/90)</f>
        <v>0.36090225563909772</v>
      </c>
      <c r="H54" s="11">
        <v>22</v>
      </c>
      <c r="I54" s="11">
        <v>38</v>
      </c>
      <c r="J54" s="11"/>
      <c r="K54" s="11"/>
      <c r="L54" s="11"/>
      <c r="M54" s="11"/>
      <c r="N54" s="11">
        <v>1</v>
      </c>
      <c r="O54" s="11"/>
      <c r="P54" s="12">
        <f>BRE[[#This Row],[xPoints Av.]]*BRE[[#This Row],[Regularity]]</f>
        <v>2.3410368025326473</v>
      </c>
      <c r="Q54" s="11" t="s">
        <v>18</v>
      </c>
    </row>
    <row r="55" spans="1:17" ht="30" customHeight="1" x14ac:dyDescent="0.45">
      <c r="A55" s="11" t="s">
        <v>124</v>
      </c>
      <c r="B55" s="11" t="s">
        <v>75</v>
      </c>
      <c r="C55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3.3666538276360134</v>
      </c>
      <c r="D55" s="12">
        <f>(BRE[[#This Row],[60+Mins Last Season]]/BRE[[#This Row],[Possible 60+Mins Last Season]] * (38-MAX(GameRecord[GW]))/38) + (BRE[[#This Row],[60+Mins This Season]]/BRE[[#This Row],[Possible 60+Mins This Season]] * (MAX(GameRecord[GW]))/38)</f>
        <v>0.63157894736842102</v>
      </c>
      <c r="E55" s="12">
        <v>0.15</v>
      </c>
      <c r="F55" s="12">
        <v>0.09</v>
      </c>
      <c r="G55" s="12">
        <f>8/(2077/90)</f>
        <v>0.34665382763601343</v>
      </c>
      <c r="H55" s="11">
        <v>24</v>
      </c>
      <c r="I55" s="11">
        <v>38</v>
      </c>
      <c r="J55" s="11"/>
      <c r="K55" s="11"/>
      <c r="L55" s="11"/>
      <c r="M55" s="11"/>
      <c r="N55" s="11">
        <v>1</v>
      </c>
      <c r="O55" s="11"/>
      <c r="P55" s="12">
        <f>BRE[[#This Row],[xPoints Av.]]*BRE[[#This Row],[Regularity]]</f>
        <v>2.1263076806122188</v>
      </c>
      <c r="Q55" s="11" t="s">
        <v>18</v>
      </c>
    </row>
    <row r="56" spans="1:17" ht="30" customHeight="1" x14ac:dyDescent="0.45">
      <c r="A56" s="11" t="s">
        <v>121</v>
      </c>
      <c r="B56" s="11" t="s">
        <v>75</v>
      </c>
      <c r="C5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3.1629411764705884</v>
      </c>
      <c r="D56" s="12">
        <f>(BRE[[#This Row],[60+Mins Last Season]]/BRE[[#This Row],[Possible 60+Mins Last Season]] * (38-MAX(GameRecord[GW]))/38) + (BRE[[#This Row],[60+Mins This Season]]/BRE[[#This Row],[Possible 60+Mins This Season]] * (MAX(GameRecord[GW]))/38)</f>
        <v>0.65789473684210531</v>
      </c>
      <c r="E56" s="12">
        <v>0.12</v>
      </c>
      <c r="F56" s="12">
        <v>7.0000000000000007E-2</v>
      </c>
      <c r="G56" s="12">
        <f>9/(2295/90)</f>
        <v>0.35294117647058826</v>
      </c>
      <c r="H56" s="11">
        <v>25</v>
      </c>
      <c r="I56" s="11">
        <v>38</v>
      </c>
      <c r="J56" s="11"/>
      <c r="K56" s="11"/>
      <c r="L56" s="11"/>
      <c r="M56" s="11"/>
      <c r="N56" s="11">
        <v>1</v>
      </c>
      <c r="O56" s="11"/>
      <c r="P56" s="12">
        <f>BRE[[#This Row],[xPoints Av.]]*BRE[[#This Row],[Regularity]]</f>
        <v>2.0808823529411766</v>
      </c>
      <c r="Q56" s="11" t="s">
        <v>18</v>
      </c>
    </row>
    <row r="57" spans="1:17" ht="30" customHeight="1" x14ac:dyDescent="0.45">
      <c r="A57" s="11" t="s">
        <v>125</v>
      </c>
      <c r="B57" s="11" t="s">
        <v>75</v>
      </c>
      <c r="C5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3.4598113207547172</v>
      </c>
      <c r="D57" s="12">
        <f>(BRE[[#This Row],[60+Mins Last Season]]/BRE[[#This Row],[Possible 60+Mins Last Season]] * (38-MAX(GameRecord[GW]))/38) + (BRE[[#This Row],[60+Mins This Season]]/BRE[[#This Row],[Possible 60+Mins This Season]] * (MAX(GameRecord[GW]))/38)</f>
        <v>0.38235294117647056</v>
      </c>
      <c r="E57" s="12">
        <v>0.15</v>
      </c>
      <c r="F57" s="12">
        <v>0.18</v>
      </c>
      <c r="G57" s="12">
        <f>3/(1590/90)</f>
        <v>0.16981132075471697</v>
      </c>
      <c r="H57" s="11">
        <v>13</v>
      </c>
      <c r="I57" s="11">
        <v>34</v>
      </c>
      <c r="J57" s="11"/>
      <c r="K57" s="11"/>
      <c r="L57" s="11"/>
      <c r="M57" s="11"/>
      <c r="N57" s="11">
        <v>1</v>
      </c>
      <c r="O57" s="11"/>
      <c r="P57" s="12">
        <f>BRE[[#This Row],[xPoints Av.]]*BRE[[#This Row],[Regularity]]</f>
        <v>1.3228690344062153</v>
      </c>
      <c r="Q57" s="11" t="s">
        <v>18</v>
      </c>
    </row>
    <row r="58" spans="1:17" ht="30" customHeight="1" x14ac:dyDescent="0.45">
      <c r="A58" s="11" t="s">
        <v>120</v>
      </c>
      <c r="B58" s="11" t="s">
        <v>75</v>
      </c>
      <c r="C5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3.6129337539432176</v>
      </c>
      <c r="D58" s="12">
        <f>(BRE[[#This Row],[60+Mins Last Season]]/BRE[[#This Row],[Possible 60+Mins Last Season]] * (38-MAX(GameRecord[GW]))/38) + (BRE[[#This Row],[60+Mins This Season]]/BRE[[#This Row],[Possible 60+Mins This Season]] * (MAX(GameRecord[GW]))/38)</f>
        <v>0.34210526315789475</v>
      </c>
      <c r="E58" s="12">
        <v>0.25</v>
      </c>
      <c r="F58" s="12">
        <v>0.05</v>
      </c>
      <c r="G58" s="12">
        <f>3/(1268/90)</f>
        <v>0.21293375394321767</v>
      </c>
      <c r="H58" s="11">
        <v>13</v>
      </c>
      <c r="I58" s="11">
        <v>38</v>
      </c>
      <c r="J58" s="11"/>
      <c r="K58" s="11"/>
      <c r="L58" s="11"/>
      <c r="M58" s="11"/>
      <c r="N58" s="11">
        <v>1</v>
      </c>
      <c r="O58" s="11"/>
      <c r="P58" s="12">
        <f>BRE[[#This Row],[xPoints Av.]]*BRE[[#This Row],[Regularity]]</f>
        <v>1.2360036526647851</v>
      </c>
      <c r="Q58" s="11" t="s">
        <v>18</v>
      </c>
    </row>
    <row r="59" spans="1:17" ht="30" customHeight="1" x14ac:dyDescent="0.45">
      <c r="A59" s="11" t="s">
        <v>117</v>
      </c>
      <c r="B59" s="11" t="s">
        <v>64</v>
      </c>
      <c r="C5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2.6222077922077922</v>
      </c>
      <c r="D59" s="12">
        <f>(BRE[[#This Row],[60+Mins Last Season]]/BRE[[#This Row],[Possible 60+Mins Last Season]] * (38-MAX(GameRecord[GW]))/38) + (BRE[[#This Row],[60+Mins This Season]]/BRE[[#This Row],[Possible 60+Mins This Season]] * (MAX(GameRecord[GW]))/38)</f>
        <v>0.31578947368421051</v>
      </c>
      <c r="E59" s="12">
        <v>0.02</v>
      </c>
      <c r="F59" s="12">
        <v>7.0000000000000007E-2</v>
      </c>
      <c r="G59" s="12">
        <f>1/(1232/90)</f>
        <v>7.3051948051948062E-2</v>
      </c>
      <c r="H59" s="11">
        <v>12</v>
      </c>
      <c r="I59" s="11">
        <v>38</v>
      </c>
      <c r="J59" s="11"/>
      <c r="K59" s="11"/>
      <c r="L59" s="11"/>
      <c r="M59" s="11"/>
      <c r="N59" s="11">
        <v>1</v>
      </c>
      <c r="O59" s="11"/>
      <c r="P59" s="12">
        <f>BRE[[#This Row],[xPoints Av.]]*BRE[[#This Row],[Regularity]]</f>
        <v>0.82806561859193428</v>
      </c>
      <c r="Q59" s="11" t="s">
        <v>18</v>
      </c>
    </row>
    <row r="60" spans="1:17" ht="30" customHeight="1" x14ac:dyDescent="0.45">
      <c r="A60" s="11" t="s">
        <v>123</v>
      </c>
      <c r="B60" s="11" t="s">
        <v>75</v>
      </c>
      <c r="C6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2.6396153846153849</v>
      </c>
      <c r="D60" s="12">
        <f>(BRE[[#This Row],[60+Mins Last Season]]/BRE[[#This Row],[Possible 60+Mins Last Season]] * (38-MAX(GameRecord[GW]))/38) + (BRE[[#This Row],[60+Mins This Season]]/BRE[[#This Row],[Possible 60+Mins This Season]] * (MAX(GameRecord[GW]))/38)</f>
        <v>0.26315789473684209</v>
      </c>
      <c r="E60" s="12">
        <v>7.0000000000000007E-2</v>
      </c>
      <c r="F60" s="12">
        <v>0.01</v>
      </c>
      <c r="G60" s="12">
        <f>3/(1040/90)</f>
        <v>0.25961538461538464</v>
      </c>
      <c r="H60" s="11">
        <v>10</v>
      </c>
      <c r="I60" s="11">
        <v>38</v>
      </c>
      <c r="J60" s="11"/>
      <c r="K60" s="11"/>
      <c r="L60" s="11"/>
      <c r="M60" s="11"/>
      <c r="N60" s="11">
        <v>1</v>
      </c>
      <c r="O60" s="11"/>
      <c r="P60" s="12">
        <f>BRE[[#This Row],[xPoints Av.]]*BRE[[#This Row],[Regularity]]</f>
        <v>0.69463562753036445</v>
      </c>
      <c r="Q60" s="11" t="s">
        <v>18</v>
      </c>
    </row>
    <row r="61" spans="1:17" ht="30" customHeight="1" x14ac:dyDescent="0.45">
      <c r="A61" s="11" t="s">
        <v>126</v>
      </c>
      <c r="B61" s="11" t="s">
        <v>75</v>
      </c>
      <c r="C6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2.6504454342984411</v>
      </c>
      <c r="D61" s="12">
        <f>(BRE[[#This Row],[60+Mins Last Season]]/BRE[[#This Row],[Possible 60+Mins Last Season]] * (38-MAX(GameRecord[GW]))/38) + (BRE[[#This Row],[60+Mins This Season]]/BRE[[#This Row],[Possible 60+Mins This Season]] * (MAX(GameRecord[GW]))/38)</f>
        <v>0.18421052631578946</v>
      </c>
      <c r="E61" s="12">
        <v>0.06</v>
      </c>
      <c r="F61" s="12">
        <v>0.05</v>
      </c>
      <c r="G61" s="12">
        <f>2/(898/90)</f>
        <v>0.20044543429844097</v>
      </c>
      <c r="H61" s="11">
        <v>7</v>
      </c>
      <c r="I61" s="11">
        <v>38</v>
      </c>
      <c r="J61" s="11"/>
      <c r="K61" s="11"/>
      <c r="L61" s="11"/>
      <c r="M61" s="11"/>
      <c r="N61" s="11">
        <v>1</v>
      </c>
      <c r="O61" s="11"/>
      <c r="P61" s="12">
        <f>BRE[[#This Row],[xPoints Av.]]*BRE[[#This Row],[Regularity]]</f>
        <v>0.48823994842339702</v>
      </c>
      <c r="Q61" s="11" t="s">
        <v>18</v>
      </c>
    </row>
    <row r="63" spans="1:17" ht="30" customHeight="1" x14ac:dyDescent="0.35">
      <c r="A63" s="24" t="s">
        <v>128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30" customHeight="1" x14ac:dyDescent="0.35">
      <c r="A64" s="2" t="s">
        <v>52</v>
      </c>
      <c r="B64" s="2" t="s">
        <v>86</v>
      </c>
      <c r="C64" s="2" t="s">
        <v>59</v>
      </c>
      <c r="D64" s="2" t="s">
        <v>54</v>
      </c>
      <c r="E64" s="2" t="s">
        <v>55</v>
      </c>
      <c r="F64" s="2" t="s">
        <v>56</v>
      </c>
      <c r="G64" s="2" t="s">
        <v>65</v>
      </c>
      <c r="H64" s="2" t="s">
        <v>88</v>
      </c>
      <c r="I64" s="2" t="s">
        <v>89</v>
      </c>
      <c r="J64" s="2" t="s">
        <v>57</v>
      </c>
      <c r="K64" s="2" t="s">
        <v>58</v>
      </c>
      <c r="L64" s="2" t="s">
        <v>66</v>
      </c>
      <c r="M64" s="2" t="s">
        <v>87</v>
      </c>
      <c r="N64" s="2" t="s">
        <v>90</v>
      </c>
      <c r="O64" s="2" t="s">
        <v>67</v>
      </c>
      <c r="P64" s="2" t="s">
        <v>53</v>
      </c>
      <c r="Q64" s="2" t="s">
        <v>0</v>
      </c>
    </row>
    <row r="65" spans="1:17" ht="30" customHeight="1" x14ac:dyDescent="0.45">
      <c r="A65" s="11" t="s">
        <v>131</v>
      </c>
      <c r="B65" s="11" t="s">
        <v>64</v>
      </c>
      <c r="C6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3.6419682745224993</v>
      </c>
      <c r="D65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5" s="12">
        <v>0.02</v>
      </c>
      <c r="F65" s="12">
        <v>0.08</v>
      </c>
      <c r="G65" s="12">
        <f>11/(3089/90)</f>
        <v>0.32049206863062479</v>
      </c>
      <c r="H65" s="11">
        <v>38</v>
      </c>
      <c r="I65" s="11">
        <v>38</v>
      </c>
      <c r="J65" s="11"/>
      <c r="K65" s="11"/>
      <c r="L65" s="11"/>
      <c r="M65" s="11"/>
      <c r="N65" s="11">
        <v>1</v>
      </c>
      <c r="O65" s="11"/>
      <c r="P65" s="12">
        <f>BHA[[#This Row],[xPoints Av.]]*BHA[[#This Row],[Regularity]]</f>
        <v>3.6419682745224993</v>
      </c>
      <c r="Q65" s="11" t="s">
        <v>129</v>
      </c>
    </row>
    <row r="66" spans="1:17" ht="30" customHeight="1" x14ac:dyDescent="0.45">
      <c r="A66" s="11" t="s">
        <v>137</v>
      </c>
      <c r="B66" s="11" t="s">
        <v>75</v>
      </c>
      <c r="C6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4.1131930074919731</v>
      </c>
      <c r="D66" s="12">
        <f>(BHA[[#This Row],[60+Mins Last Season]]/BHA[[#This Row],[Possible 60+Mins Last Season]] * (38-MAX(GameRecord[GW]))/38) + (BHA[[#This Row],[60+Mins This Season]]/BHA[[#This Row],[Possible 60+Mins This Season]] * (MAX(GameRecord[GW]))/38)</f>
        <v>0.88235294117647067</v>
      </c>
      <c r="E66" s="12">
        <v>0.25</v>
      </c>
      <c r="F66" s="12">
        <v>0.17</v>
      </c>
      <c r="G66" s="12">
        <f>11/(2803/90)</f>
        <v>0.35319300749197285</v>
      </c>
      <c r="H66" s="11">
        <v>30</v>
      </c>
      <c r="I66" s="11">
        <v>34</v>
      </c>
      <c r="J66" s="11"/>
      <c r="K66" s="11"/>
      <c r="L66" s="11"/>
      <c r="M66" s="11"/>
      <c r="N66" s="11">
        <v>1</v>
      </c>
      <c r="O66" s="11"/>
      <c r="P66" s="12">
        <f>BHA[[#This Row],[xPoints Av.]]*BHA[[#This Row],[Regularity]]</f>
        <v>3.6292879477870357</v>
      </c>
      <c r="Q66" s="11" t="s">
        <v>129</v>
      </c>
    </row>
    <row r="67" spans="1:17" ht="30" customHeight="1" x14ac:dyDescent="0.45">
      <c r="A67" s="11" t="s">
        <v>133</v>
      </c>
      <c r="B67" s="11" t="s">
        <v>64</v>
      </c>
      <c r="C6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3.7291449669646326</v>
      </c>
      <c r="D67" s="12">
        <f>(BHA[[#This Row],[60+Mins Last Season]]/BHA[[#This Row],[Possible 60+Mins Last Season]] * (38-MAX(GameRecord[GW]))/38) + (BHA[[#This Row],[60+Mins This Season]]/BHA[[#This Row],[Possible 60+Mins This Season]] * (MAX(GameRecord[GW]))/38)</f>
        <v>0.96551724137931039</v>
      </c>
      <c r="E67" s="12">
        <v>0.05</v>
      </c>
      <c r="F67" s="12">
        <v>0.01</v>
      </c>
      <c r="G67" s="12">
        <f>10/(2573/90)</f>
        <v>0.34978624174115819</v>
      </c>
      <c r="H67" s="11">
        <v>28</v>
      </c>
      <c r="I67" s="11">
        <v>29</v>
      </c>
      <c r="J67" s="11"/>
      <c r="K67" s="11"/>
      <c r="L67" s="11"/>
      <c r="M67" s="11"/>
      <c r="N67" s="11">
        <v>1</v>
      </c>
      <c r="O67" s="11"/>
      <c r="P67" s="12">
        <f>BHA[[#This Row],[xPoints Av.]]*BHA[[#This Row],[Regularity]]</f>
        <v>3.6005537612072316</v>
      </c>
      <c r="Q67" s="11" t="s">
        <v>129</v>
      </c>
    </row>
    <row r="68" spans="1:17" ht="30" customHeight="1" x14ac:dyDescent="0.45">
      <c r="A68" s="11" t="s">
        <v>130</v>
      </c>
      <c r="B68" s="11" t="s">
        <v>62</v>
      </c>
      <c r="C6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3.1891891891891895</v>
      </c>
      <c r="D68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8" s="12">
        <v>0</v>
      </c>
      <c r="F68" s="12">
        <v>0.02</v>
      </c>
      <c r="G68" s="12">
        <f>11/(3330/90)</f>
        <v>0.29729729729729731</v>
      </c>
      <c r="H68" s="11">
        <v>37</v>
      </c>
      <c r="I68" s="11">
        <v>37</v>
      </c>
      <c r="J68" s="11"/>
      <c r="K68" s="11"/>
      <c r="L68" s="11"/>
      <c r="M68" s="11"/>
      <c r="N68" s="11">
        <v>1</v>
      </c>
      <c r="O68" s="11"/>
      <c r="P68" s="12">
        <f>BHA[[#This Row],[xPoints Av.]]*BHA[[#This Row],[Regularity]]</f>
        <v>3.1891891891891895</v>
      </c>
      <c r="Q68" s="11" t="s">
        <v>129</v>
      </c>
    </row>
    <row r="69" spans="1:17" ht="30" customHeight="1" x14ac:dyDescent="0.45">
      <c r="A69" s="11" t="s">
        <v>132</v>
      </c>
      <c r="B69" s="11" t="s">
        <v>64</v>
      </c>
      <c r="C6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3.2720876826722338</v>
      </c>
      <c r="D69" s="12">
        <f>(BHA[[#This Row],[60+Mins Last Season]]/BHA[[#This Row],[Possible 60+Mins Last Season]] * (38-MAX(GameRecord[GW]))/38) + (BHA[[#This Row],[60+Mins This Season]]/BHA[[#This Row],[Possible 60+Mins This Season]] * (MAX(GameRecord[GW]))/38)</f>
        <v>0.96969696969696972</v>
      </c>
      <c r="E69" s="12">
        <v>0.02</v>
      </c>
      <c r="F69" s="12">
        <v>0.05</v>
      </c>
      <c r="G69" s="12">
        <f>8/(2874/90)</f>
        <v>0.25052192066805845</v>
      </c>
      <c r="H69" s="11">
        <v>32</v>
      </c>
      <c r="I69" s="11">
        <v>33</v>
      </c>
      <c r="J69" s="11"/>
      <c r="K69" s="11"/>
      <c r="L69" s="11"/>
      <c r="M69" s="11"/>
      <c r="N69" s="11">
        <v>1</v>
      </c>
      <c r="O69" s="11"/>
      <c r="P69" s="12">
        <f>BHA[[#This Row],[xPoints Av.]]*BHA[[#This Row],[Regularity]]</f>
        <v>3.1729335104700449</v>
      </c>
      <c r="Q69" s="11" t="s">
        <v>129</v>
      </c>
    </row>
    <row r="70" spans="1:17" ht="30" customHeight="1" x14ac:dyDescent="0.45">
      <c r="A70" s="11" t="s">
        <v>145</v>
      </c>
      <c r="B70" s="11" t="s">
        <v>84</v>
      </c>
      <c r="C7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4.2200000000000006</v>
      </c>
      <c r="D70" s="12">
        <f>(BHA[[#This Row],[60+Mins Last Season]]/BHA[[#This Row],[Possible 60+Mins Last Season]] * (38-MAX(GameRecord[GW]))/38) + (BHA[[#This Row],[60+Mins This Season]]/BHA[[#This Row],[Possible 60+Mins This Season]] * (MAX(GameRecord[GW]))/38)</f>
        <v>0.65217391304347827</v>
      </c>
      <c r="E70" s="12">
        <v>0.51</v>
      </c>
      <c r="F70" s="12">
        <v>0.06</v>
      </c>
      <c r="G70" s="12">
        <f>5/(1469/90)</f>
        <v>0.30633083730428862</v>
      </c>
      <c r="H70" s="11">
        <v>15</v>
      </c>
      <c r="I70" s="11">
        <v>23</v>
      </c>
      <c r="J70" s="11"/>
      <c r="K70" s="11"/>
      <c r="L70" s="11"/>
      <c r="M70" s="11"/>
      <c r="N70" s="11">
        <v>1</v>
      </c>
      <c r="O70" s="11"/>
      <c r="P70" s="12">
        <f>BHA[[#This Row],[xPoints Av.]]*BHA[[#This Row],[Regularity]]</f>
        <v>2.7521739130434786</v>
      </c>
      <c r="Q70" s="11" t="s">
        <v>129</v>
      </c>
    </row>
    <row r="71" spans="1:17" ht="30" customHeight="1" x14ac:dyDescent="0.45">
      <c r="A71" s="11" t="s">
        <v>144</v>
      </c>
      <c r="B71" s="11" t="s">
        <v>84</v>
      </c>
      <c r="C71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3.62</v>
      </c>
      <c r="D71" s="12">
        <f>(BHA[[#This Row],[60+Mins Last Season]]/BHA[[#This Row],[Possible 60+Mins Last Season]] * (38-MAX(GameRecord[GW]))/38) + (BHA[[#This Row],[60+Mins This Season]]/BHA[[#This Row],[Possible 60+Mins This Season]] * (MAX(GameRecord[GW]))/38)</f>
        <v>0.62857142857142856</v>
      </c>
      <c r="E71" s="12">
        <v>0.33</v>
      </c>
      <c r="F71" s="12">
        <v>0.1</v>
      </c>
      <c r="G71" s="12">
        <f>7/(2269/90)</f>
        <v>0.27765535478184222</v>
      </c>
      <c r="H71" s="11">
        <v>22</v>
      </c>
      <c r="I71" s="11">
        <v>35</v>
      </c>
      <c r="J71" s="11"/>
      <c r="K71" s="11"/>
      <c r="L71" s="11"/>
      <c r="M71" s="11"/>
      <c r="N71" s="11">
        <v>1</v>
      </c>
      <c r="O71" s="11"/>
      <c r="P71" s="12">
        <f>BHA[[#This Row],[xPoints Av.]]*BHA[[#This Row],[Regularity]]</f>
        <v>2.2754285714285714</v>
      </c>
      <c r="Q71" s="11" t="s">
        <v>129</v>
      </c>
    </row>
    <row r="72" spans="1:17" ht="30" customHeight="1" x14ac:dyDescent="0.45">
      <c r="A72" s="11" t="s">
        <v>139</v>
      </c>
      <c r="B72" s="11" t="s">
        <v>75</v>
      </c>
      <c r="C72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3.754156419085096</v>
      </c>
      <c r="D72" s="12">
        <f>(BHA[[#This Row],[60+Mins Last Season]]/BHA[[#This Row],[Possible 60+Mins Last Season]] * (38-MAX(GameRecord[GW]))/38) + (BHA[[#This Row],[60+Mins This Season]]/BHA[[#This Row],[Possible 60+Mins This Season]] * (MAX(GameRecord[GW]))/38)</f>
        <v>0.59459459459459463</v>
      </c>
      <c r="E72" s="12">
        <v>0.13</v>
      </c>
      <c r="F72" s="12">
        <v>0.25</v>
      </c>
      <c r="G72" s="12">
        <f>8/(2033/90)</f>
        <v>0.35415641908509593</v>
      </c>
      <c r="H72" s="11">
        <v>22</v>
      </c>
      <c r="I72" s="11">
        <v>37</v>
      </c>
      <c r="J72" s="11"/>
      <c r="K72" s="11"/>
      <c r="L72" s="11"/>
      <c r="M72" s="11"/>
      <c r="N72" s="11">
        <v>1</v>
      </c>
      <c r="O72" s="11"/>
      <c r="P72" s="12">
        <f>BHA[[#This Row],[xPoints Av.]]*BHA[[#This Row],[Regularity]]</f>
        <v>2.2322011140505977</v>
      </c>
      <c r="Q72" s="11" t="s">
        <v>129</v>
      </c>
    </row>
    <row r="73" spans="1:17" ht="30" customHeight="1" x14ac:dyDescent="0.45">
      <c r="A73" s="14" t="s">
        <v>138</v>
      </c>
      <c r="B73" s="11" t="s">
        <v>75</v>
      </c>
      <c r="C73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3.9756818181818181</v>
      </c>
      <c r="D73" s="12">
        <f>(BHA[[#This Row],[60+Mins Last Season]]/BHA[[#This Row],[Possible 60+Mins Last Season]] * (38-MAX(GameRecord[GW]))/38) + (BHA[[#This Row],[60+Mins This Season]]/BHA[[#This Row],[Possible 60+Mins This Season]] * (MAX(GameRecord[GW]))/38)</f>
        <v>0.55263157894736847</v>
      </c>
      <c r="E73" s="12">
        <v>0.28999999999999998</v>
      </c>
      <c r="F73" s="12">
        <v>0.09</v>
      </c>
      <c r="G73" s="12">
        <f>6/(2112/90)</f>
        <v>0.25568181818181818</v>
      </c>
      <c r="H73" s="11">
        <v>21</v>
      </c>
      <c r="I73" s="11">
        <v>38</v>
      </c>
      <c r="J73" s="11"/>
      <c r="K73" s="11"/>
      <c r="L73" s="11"/>
      <c r="M73" s="11"/>
      <c r="N73" s="11">
        <v>1</v>
      </c>
      <c r="O73" s="11"/>
      <c r="P73" s="12">
        <f>BHA[[#This Row],[xPoints Av.]]*BHA[[#This Row],[Regularity]]</f>
        <v>2.197087320574163</v>
      </c>
      <c r="Q73" s="11" t="s">
        <v>129</v>
      </c>
    </row>
    <row r="74" spans="1:17" ht="30" customHeight="1" x14ac:dyDescent="0.45">
      <c r="A74" s="11" t="s">
        <v>135</v>
      </c>
      <c r="B74" s="11" t="s">
        <v>64</v>
      </c>
      <c r="C74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3.5476976906927922</v>
      </c>
      <c r="D74" s="12">
        <f>(BHA[[#This Row],[60+Mins Last Season]]/BHA[[#This Row],[Possible 60+Mins Last Season]] * (38-MAX(GameRecord[GW]))/38) + (BHA[[#This Row],[60+Mins This Season]]/BHA[[#This Row],[Possible 60+Mins This Season]] * (MAX(GameRecord[GW]))/38)</f>
        <v>0.58333333333333337</v>
      </c>
      <c r="E74" s="12">
        <v>0.09</v>
      </c>
      <c r="F74" s="12">
        <v>0</v>
      </c>
      <c r="G74" s="12">
        <f>4/(1429/90)</f>
        <v>0.25192442267319803</v>
      </c>
      <c r="H74" s="11">
        <v>14</v>
      </c>
      <c r="I74" s="11">
        <v>24</v>
      </c>
      <c r="J74" s="11"/>
      <c r="K74" s="11"/>
      <c r="L74" s="11"/>
      <c r="M74" s="11"/>
      <c r="N74" s="11">
        <v>1</v>
      </c>
      <c r="O74" s="11"/>
      <c r="P74" s="12">
        <f>BHA[[#This Row],[xPoints Av.]]*BHA[[#This Row],[Regularity]]</f>
        <v>2.0694903195707957</v>
      </c>
      <c r="Q74" s="11" t="s">
        <v>129</v>
      </c>
    </row>
    <row r="75" spans="1:17" ht="30" customHeight="1" x14ac:dyDescent="0.45">
      <c r="A75" s="11" t="s">
        <v>143</v>
      </c>
      <c r="B75" s="11" t="s">
        <v>75</v>
      </c>
      <c r="C7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3.4856434474616291</v>
      </c>
      <c r="D75" s="12">
        <f>(BHA[[#This Row],[60+Mins Last Season]]/BHA[[#This Row],[Possible 60+Mins Last Season]] * (38-MAX(GameRecord[GW]))/38) + (BHA[[#This Row],[60+Mins This Season]]/BHA[[#This Row],[Possible 60+Mins This Season]] * (MAX(GameRecord[GW]))/38)</f>
        <v>0.58620689655172409</v>
      </c>
      <c r="E75" s="12">
        <v>0.16</v>
      </c>
      <c r="F75" s="12">
        <v>0.14000000000000001</v>
      </c>
      <c r="G75" s="12">
        <f>5/(1694/90)</f>
        <v>0.26564344746162927</v>
      </c>
      <c r="H75" s="11">
        <v>17</v>
      </c>
      <c r="I75" s="11">
        <v>29</v>
      </c>
      <c r="J75" s="11"/>
      <c r="K75" s="11"/>
      <c r="L75" s="11"/>
      <c r="M75" s="11"/>
      <c r="N75" s="11">
        <v>1</v>
      </c>
      <c r="O75" s="11"/>
      <c r="P75" s="12">
        <f>BHA[[#This Row],[xPoints Av.]]*BHA[[#This Row],[Regularity]]</f>
        <v>2.043308227822334</v>
      </c>
      <c r="Q75" s="11" t="s">
        <v>129</v>
      </c>
    </row>
    <row r="76" spans="1:17" ht="30" customHeight="1" x14ac:dyDescent="0.45">
      <c r="A76" s="11" t="s">
        <v>140</v>
      </c>
      <c r="B76" s="11" t="s">
        <v>75</v>
      </c>
      <c r="C7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2.6185781990521328</v>
      </c>
      <c r="D76" s="12">
        <f>(BHA[[#This Row],[60+Mins Last Season]]/BHA[[#This Row],[Possible 60+Mins Last Season]] * (38-MAX(GameRecord[GW]))/38) + (BHA[[#This Row],[60+Mins This Season]]/BHA[[#This Row],[Possible 60+Mins This Season]] * (MAX(GameRecord[GW]))/38)</f>
        <v>0.67647058823529416</v>
      </c>
      <c r="E76" s="12">
        <v>0.04</v>
      </c>
      <c r="F76" s="12">
        <v>0.04</v>
      </c>
      <c r="G76" s="12">
        <f>7/(2110/90)</f>
        <v>0.29857819905213273</v>
      </c>
      <c r="H76" s="11">
        <v>23</v>
      </c>
      <c r="I76" s="11">
        <v>34</v>
      </c>
      <c r="J76" s="11"/>
      <c r="K76" s="11"/>
      <c r="L76" s="11"/>
      <c r="M76" s="11"/>
      <c r="N76" s="11">
        <v>1</v>
      </c>
      <c r="O76" s="11"/>
      <c r="P76" s="12">
        <f>BHA[[#This Row],[xPoints Av.]]*BHA[[#This Row],[Regularity]]</f>
        <v>1.7713911346529134</v>
      </c>
      <c r="Q76" s="11" t="s">
        <v>129</v>
      </c>
    </row>
    <row r="77" spans="1:17" ht="30" customHeight="1" x14ac:dyDescent="0.45">
      <c r="A77" s="11" t="s">
        <v>136</v>
      </c>
      <c r="B77" s="11" t="s">
        <v>64</v>
      </c>
      <c r="C7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3.3941841004184101</v>
      </c>
      <c r="D77" s="12">
        <f>(BHA[[#This Row],[60+Mins Last Season]]/BHA[[#This Row],[Possible 60+Mins Last Season]] * (38-MAX(GameRecord[GW]))/38) + (BHA[[#This Row],[60+Mins This Season]]/BHA[[#This Row],[Possible 60+Mins This Season]] * (MAX(GameRecord[GW]))/38)</f>
        <v>0.4838709677419355</v>
      </c>
      <c r="E77" s="12">
        <v>0.06</v>
      </c>
      <c r="F77" s="12">
        <v>0.01</v>
      </c>
      <c r="G77" s="12">
        <f>4/(1434/90)</f>
        <v>0.2510460251046025</v>
      </c>
      <c r="H77" s="11">
        <v>15</v>
      </c>
      <c r="I77" s="11">
        <v>31</v>
      </c>
      <c r="J77" s="11"/>
      <c r="K77" s="11"/>
      <c r="L77" s="11"/>
      <c r="M77" s="11"/>
      <c r="N77" s="11">
        <v>1</v>
      </c>
      <c r="O77" s="11"/>
      <c r="P77" s="12">
        <f>BHA[[#This Row],[xPoints Av.]]*BHA[[#This Row],[Regularity]]</f>
        <v>1.6423471453637468</v>
      </c>
      <c r="Q77" s="11" t="s">
        <v>129</v>
      </c>
    </row>
    <row r="78" spans="1:17" ht="30" customHeight="1" x14ac:dyDescent="0.45">
      <c r="A78" s="11" t="s">
        <v>142</v>
      </c>
      <c r="B78" s="11" t="s">
        <v>75</v>
      </c>
      <c r="C7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3.5927272727272728</v>
      </c>
      <c r="D78" s="12">
        <f>(BHA[[#This Row],[60+Mins Last Season]]/BHA[[#This Row],[Possible 60+Mins Last Season]] * (38-MAX(GameRecord[GW]))/38) + (BHA[[#This Row],[60+Mins This Season]]/BHA[[#This Row],[Possible 60+Mins This Season]] * (MAX(GameRecord[GW]))/38)</f>
        <v>0.45</v>
      </c>
      <c r="E78" s="12">
        <v>0.18</v>
      </c>
      <c r="F78" s="12">
        <v>0.14000000000000001</v>
      </c>
      <c r="G78" s="12">
        <f>3/(990/90)</f>
        <v>0.27272727272727271</v>
      </c>
      <c r="H78" s="11">
        <v>9</v>
      </c>
      <c r="I78" s="11">
        <v>20</v>
      </c>
      <c r="J78" s="11"/>
      <c r="K78" s="11"/>
      <c r="L78" s="11"/>
      <c r="M78" s="11"/>
      <c r="N78" s="11">
        <v>1</v>
      </c>
      <c r="O78" s="11"/>
      <c r="P78" s="12">
        <f>BHA[[#This Row],[xPoints Av.]]*BHA[[#This Row],[Regularity]]</f>
        <v>1.6167272727272728</v>
      </c>
      <c r="Q78" s="11" t="s">
        <v>129</v>
      </c>
    </row>
    <row r="79" spans="1:17" ht="30" customHeight="1" x14ac:dyDescent="0.45">
      <c r="A79" s="11" t="s">
        <v>134</v>
      </c>
      <c r="B79" s="11" t="s">
        <v>64</v>
      </c>
      <c r="C7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4.2662508080155135</v>
      </c>
      <c r="D79" s="12">
        <f>(BHA[[#This Row],[60+Mins Last Season]]/BHA[[#This Row],[Possible 60+Mins Last Season]] * (38-MAX(GameRecord[GW]))/38) + (BHA[[#This Row],[60+Mins This Season]]/BHA[[#This Row],[Possible 60+Mins This Season]] * (MAX(GameRecord[GW]))/38)</f>
        <v>0.3783783783783784</v>
      </c>
      <c r="E79" s="12">
        <v>0.06</v>
      </c>
      <c r="F79" s="12">
        <v>0.17</v>
      </c>
      <c r="G79" s="12">
        <f>6/(1547/90)</f>
        <v>0.34906270200387846</v>
      </c>
      <c r="H79" s="11">
        <v>14</v>
      </c>
      <c r="I79" s="11">
        <v>37</v>
      </c>
      <c r="J79" s="11"/>
      <c r="K79" s="11"/>
      <c r="L79" s="11"/>
      <c r="M79" s="11"/>
      <c r="N79" s="11">
        <v>1</v>
      </c>
      <c r="O79" s="11"/>
      <c r="P79" s="12">
        <f>BHA[[#This Row],[xPoints Av.]]*BHA[[#This Row],[Regularity]]</f>
        <v>1.6142570624923565</v>
      </c>
      <c r="Q79" s="11" t="s">
        <v>129</v>
      </c>
    </row>
    <row r="80" spans="1:17" ht="30" customHeight="1" x14ac:dyDescent="0.45">
      <c r="A80" s="11" t="s">
        <v>141</v>
      </c>
      <c r="B80" s="11" t="s">
        <v>75</v>
      </c>
      <c r="C8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3.2435314483554532</v>
      </c>
      <c r="D80" s="12">
        <f>(BHA[[#This Row],[60+Mins Last Season]]/BHA[[#This Row],[Possible 60+Mins Last Season]] * (38-MAX(GameRecord[GW]))/38) + (BHA[[#This Row],[60+Mins This Season]]/BHA[[#This Row],[Possible 60+Mins This Season]] * (MAX(GameRecord[GW]))/38)</f>
        <v>0.48648648648648651</v>
      </c>
      <c r="E80" s="12">
        <v>0.08</v>
      </c>
      <c r="F80" s="12">
        <v>0.16</v>
      </c>
      <c r="G80" s="12">
        <f>7/(1733/90)</f>
        <v>0.36353144835545298</v>
      </c>
      <c r="H80" s="11">
        <v>18</v>
      </c>
      <c r="I80" s="11">
        <v>37</v>
      </c>
      <c r="J80" s="11"/>
      <c r="K80" s="11"/>
      <c r="L80" s="11"/>
      <c r="M80" s="11"/>
      <c r="N80" s="11">
        <v>1</v>
      </c>
      <c r="O80" s="11"/>
      <c r="P80" s="12">
        <f>BHA[[#This Row],[xPoints Av.]]*BHA[[#This Row],[Regularity]]</f>
        <v>1.5779342181188691</v>
      </c>
      <c r="Q80" s="11" t="s">
        <v>129</v>
      </c>
    </row>
    <row r="82" spans="1:17" ht="30" customHeight="1" x14ac:dyDescent="0.35">
      <c r="A82" s="24" t="s">
        <v>146</v>
      </c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</row>
    <row r="83" spans="1:17" ht="30" customHeight="1" x14ac:dyDescent="0.35">
      <c r="A83" s="2" t="s">
        <v>52</v>
      </c>
      <c r="B83" s="2" t="s">
        <v>86</v>
      </c>
      <c r="C83" s="2" t="s">
        <v>59</v>
      </c>
      <c r="D83" s="2" t="s">
        <v>54</v>
      </c>
      <c r="E83" s="2" t="s">
        <v>55</v>
      </c>
      <c r="F83" s="2" t="s">
        <v>56</v>
      </c>
      <c r="G83" s="2" t="s">
        <v>65</v>
      </c>
      <c r="H83" s="2" t="s">
        <v>88</v>
      </c>
      <c r="I83" s="2" t="s">
        <v>89</v>
      </c>
      <c r="J83" s="2" t="s">
        <v>57</v>
      </c>
      <c r="K83" s="2" t="s">
        <v>58</v>
      </c>
      <c r="L83" s="2" t="s">
        <v>66</v>
      </c>
      <c r="M83" s="2" t="s">
        <v>87</v>
      </c>
      <c r="N83" s="2" t="s">
        <v>90</v>
      </c>
      <c r="O83" s="2" t="s">
        <v>67</v>
      </c>
      <c r="P83" s="2" t="s">
        <v>53</v>
      </c>
      <c r="Q83" s="2" t="s">
        <v>0</v>
      </c>
    </row>
    <row r="84" spans="1:17" ht="30" customHeight="1" x14ac:dyDescent="0.45">
      <c r="A84" s="11" t="s">
        <v>154</v>
      </c>
      <c r="B84" s="11" t="s">
        <v>64</v>
      </c>
      <c r="C8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6.4017375231053606</v>
      </c>
      <c r="D84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4" s="12">
        <v>0.22</v>
      </c>
      <c r="F84" s="12">
        <v>0.14000000000000001</v>
      </c>
      <c r="G84" s="12">
        <f>4/(541/90)</f>
        <v>0.6654343807763401</v>
      </c>
      <c r="H84" s="11">
        <v>6</v>
      </c>
      <c r="I84" s="11">
        <v>6</v>
      </c>
      <c r="J84" s="11"/>
      <c r="K84" s="11"/>
      <c r="L84" s="11"/>
      <c r="M84" s="11"/>
      <c r="N84" s="11">
        <v>1</v>
      </c>
      <c r="O84" s="11"/>
      <c r="P84" s="12">
        <f>CHE[[#This Row],[xPoints Av.]]*CHE[[#This Row],[Regularity]]</f>
        <v>6.4017375231053606</v>
      </c>
      <c r="Q84" s="11" t="s">
        <v>9</v>
      </c>
    </row>
    <row r="85" spans="1:17" ht="30" customHeight="1" x14ac:dyDescent="0.45">
      <c r="A85" s="11" t="s">
        <v>148</v>
      </c>
      <c r="B85" s="11" t="s">
        <v>64</v>
      </c>
      <c r="C8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5.0926570048309179</v>
      </c>
      <c r="D85" s="12">
        <f>(CHE[[#This Row],[60+Mins Last Season]]/CHE[[#This Row],[Possible 60+Mins Last Season]] * (38-MAX(GameRecord[GW]))/38) + (CHE[[#This Row],[60+Mins This Season]]/CHE[[#This Row],[Possible 60+Mins This Season]] * (MAX(GameRecord[GW]))/38)</f>
        <v>0.76</v>
      </c>
      <c r="E85" s="12">
        <v>0.12</v>
      </c>
      <c r="F85" s="12">
        <v>0.34</v>
      </c>
      <c r="G85" s="12">
        <f>7/(1863/90)</f>
        <v>0.33816425120772947</v>
      </c>
      <c r="H85" s="11">
        <v>19</v>
      </c>
      <c r="I85" s="11">
        <v>25</v>
      </c>
      <c r="J85" s="11"/>
      <c r="K85" s="11"/>
      <c r="L85" s="11"/>
      <c r="M85" s="11"/>
      <c r="N85" s="11">
        <v>1</v>
      </c>
      <c r="O85" s="11"/>
      <c r="P85" s="12">
        <f>CHE[[#This Row],[xPoints Av.]]*CHE[[#This Row],[Regularity]]</f>
        <v>3.8704193236714977</v>
      </c>
      <c r="Q85" s="11" t="s">
        <v>9</v>
      </c>
    </row>
    <row r="86" spans="1:17" ht="30" customHeight="1" x14ac:dyDescent="0.45">
      <c r="A86" s="11" t="s">
        <v>155</v>
      </c>
      <c r="B86" s="11" t="s">
        <v>75</v>
      </c>
      <c r="C8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4.8298473282442753</v>
      </c>
      <c r="D86" s="12">
        <f>(CHE[[#This Row],[60+Mins Last Season]]/CHE[[#This Row],[Possible 60+Mins Last Season]] * (38-MAX(GameRecord[GW]))/38) + (CHE[[#This Row],[60+Mins This Season]]/CHE[[#This Row],[Possible 60+Mins This Season]] * (MAX(GameRecord[GW]))/38)</f>
        <v>0.76470588235294112</v>
      </c>
      <c r="E86" s="12">
        <v>0.32</v>
      </c>
      <c r="F86" s="12">
        <v>0.27</v>
      </c>
      <c r="G86" s="12">
        <f>11/(2358/90)</f>
        <v>0.41984732824427484</v>
      </c>
      <c r="H86" s="11">
        <v>26</v>
      </c>
      <c r="I86" s="11">
        <v>34</v>
      </c>
      <c r="J86" s="11"/>
      <c r="K86" s="11"/>
      <c r="L86" s="11"/>
      <c r="M86" s="11"/>
      <c r="N86" s="11">
        <v>1</v>
      </c>
      <c r="O86" s="11"/>
      <c r="P86" s="12">
        <f>CHE[[#This Row],[xPoints Av.]]*CHE[[#This Row],[Regularity]]</f>
        <v>3.6934126627750339</v>
      </c>
      <c r="Q86" s="11" t="s">
        <v>9</v>
      </c>
    </row>
    <row r="87" spans="1:17" ht="30" customHeight="1" x14ac:dyDescent="0.45">
      <c r="A87" s="11" t="s">
        <v>147</v>
      </c>
      <c r="B87" s="11" t="s">
        <v>62</v>
      </c>
      <c r="C8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3.6470588235294117</v>
      </c>
      <c r="D87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7" s="12">
        <v>0</v>
      </c>
      <c r="F87" s="12">
        <v>0</v>
      </c>
      <c r="G87" s="12">
        <f>14/(3060/90)</f>
        <v>0.41176470588235292</v>
      </c>
      <c r="H87" s="11">
        <v>34</v>
      </c>
      <c r="I87" s="11">
        <v>34</v>
      </c>
      <c r="J87" s="11"/>
      <c r="K87" s="11"/>
      <c r="L87" s="11"/>
      <c r="M87" s="11"/>
      <c r="N87" s="11">
        <v>1</v>
      </c>
      <c r="O87" s="11"/>
      <c r="P87" s="12">
        <f>CHE[[#This Row],[xPoints Av.]]*CHE[[#This Row],[Regularity]]</f>
        <v>3.6470588235294117</v>
      </c>
      <c r="Q87" s="11" t="s">
        <v>9</v>
      </c>
    </row>
    <row r="88" spans="1:17" ht="30" customHeight="1" x14ac:dyDescent="0.45">
      <c r="A88" s="11" t="s">
        <v>150</v>
      </c>
      <c r="B88" s="11" t="s">
        <v>64</v>
      </c>
      <c r="C8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4.9672273567467657</v>
      </c>
      <c r="D88" s="12">
        <f>(CHE[[#This Row],[60+Mins Last Season]]/CHE[[#This Row],[Possible 60+Mins Last Season]] * (38-MAX(GameRecord[GW]))/38) + (CHE[[#This Row],[60+Mins This Season]]/CHE[[#This Row],[Possible 60+Mins This Season]] * (MAX(GameRecord[GW]))/38)</f>
        <v>0.68571428571428572</v>
      </c>
      <c r="E88" s="12">
        <v>0.14000000000000001</v>
      </c>
      <c r="F88" s="12">
        <v>0.21</v>
      </c>
      <c r="G88" s="12">
        <f>9/(2164/90)</f>
        <v>0.37430683918669133</v>
      </c>
      <c r="H88" s="11">
        <v>24</v>
      </c>
      <c r="I88" s="11">
        <v>35</v>
      </c>
      <c r="J88" s="11"/>
      <c r="K88" s="11"/>
      <c r="L88" s="11"/>
      <c r="M88" s="11"/>
      <c r="N88" s="11">
        <v>1</v>
      </c>
      <c r="O88" s="11"/>
      <c r="P88" s="12">
        <f>CHE[[#This Row],[xPoints Av.]]*CHE[[#This Row],[Regularity]]</f>
        <v>3.4060987589120679</v>
      </c>
      <c r="Q88" s="11" t="s">
        <v>9</v>
      </c>
    </row>
    <row r="89" spans="1:17" ht="30" customHeight="1" x14ac:dyDescent="0.45">
      <c r="A89" s="11" t="s">
        <v>149</v>
      </c>
      <c r="B89" s="11" t="s">
        <v>64</v>
      </c>
      <c r="C8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3.7649037372593432</v>
      </c>
      <c r="D89" s="12">
        <f>(CHE[[#This Row],[60+Mins Last Season]]/CHE[[#This Row],[Possible 60+Mins Last Season]] * (38-MAX(GameRecord[GW]))/38) + (CHE[[#This Row],[60+Mins This Season]]/CHE[[#This Row],[Possible 60+Mins This Season]] * (MAX(GameRecord[GW]))/38)</f>
        <v>0.82352941176470584</v>
      </c>
      <c r="E89" s="12">
        <v>0.04</v>
      </c>
      <c r="F89" s="12">
        <v>0.01</v>
      </c>
      <c r="G89" s="12">
        <f>11/(2649/90)</f>
        <v>0.37372593431483581</v>
      </c>
      <c r="H89" s="11">
        <v>28</v>
      </c>
      <c r="I89" s="11">
        <v>34</v>
      </c>
      <c r="J89" s="11"/>
      <c r="K89" s="11"/>
      <c r="L89" s="11"/>
      <c r="M89" s="11"/>
      <c r="N89" s="11">
        <v>1</v>
      </c>
      <c r="O89" s="11"/>
      <c r="P89" s="12">
        <f>CHE[[#This Row],[xPoints Av.]]*CHE[[#This Row],[Regularity]]</f>
        <v>3.1005089600959295</v>
      </c>
      <c r="Q89" s="11" t="s">
        <v>9</v>
      </c>
    </row>
    <row r="90" spans="1:17" ht="30" customHeight="1" x14ac:dyDescent="0.45">
      <c r="A90" s="11" t="s">
        <v>156</v>
      </c>
      <c r="B90" s="11" t="s">
        <v>75</v>
      </c>
      <c r="C9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5.5394450610432857</v>
      </c>
      <c r="D90" s="12">
        <f>(CHE[[#This Row],[60+Mins Last Season]]/CHE[[#This Row],[Possible 60+Mins Last Season]] * (38-MAX(GameRecord[GW]))/38) + (CHE[[#This Row],[60+Mins This Season]]/CHE[[#This Row],[Possible 60+Mins This Season]] * (MAX(GameRecord[GW]))/38)</f>
        <v>0.55882352941176472</v>
      </c>
      <c r="E90" s="12">
        <v>0.53</v>
      </c>
      <c r="F90" s="12">
        <v>0.13</v>
      </c>
      <c r="G90" s="12">
        <f>10/(1802/90)</f>
        <v>0.49944506104328523</v>
      </c>
      <c r="H90" s="11">
        <v>19</v>
      </c>
      <c r="I90" s="11">
        <v>34</v>
      </c>
      <c r="J90" s="11"/>
      <c r="K90" s="11"/>
      <c r="L90" s="11"/>
      <c r="M90" s="11"/>
      <c r="N90" s="11">
        <v>1</v>
      </c>
      <c r="O90" s="11"/>
      <c r="P90" s="12">
        <f>CHE[[#This Row],[xPoints Av.]]*CHE[[#This Row],[Regularity]]</f>
        <v>3.0955722399947776</v>
      </c>
      <c r="Q90" s="11" t="s">
        <v>9</v>
      </c>
    </row>
    <row r="91" spans="1:17" ht="30" customHeight="1" x14ac:dyDescent="0.45">
      <c r="A91" s="11" t="s">
        <v>185</v>
      </c>
      <c r="B91" s="11" t="s">
        <v>75</v>
      </c>
      <c r="C9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4.8412168486739464</v>
      </c>
      <c r="D91" s="12">
        <f>(CHE[[#This Row],[60+Mins Last Season]]/CHE[[#This Row],[Possible 60+Mins Last Season]] * (38-MAX(GameRecord[GW]))/38) + (CHE[[#This Row],[60+Mins This Season]]/CHE[[#This Row],[Possible 60+Mins This Season]] * (MAX(GameRecord[GW]))/38)</f>
        <v>0.59090909090909094</v>
      </c>
      <c r="E91" s="12">
        <v>0.43</v>
      </c>
      <c r="F91" s="12">
        <v>0.09</v>
      </c>
      <c r="G91" s="12">
        <v>0.42121684867394699</v>
      </c>
      <c r="H91" s="11">
        <v>13</v>
      </c>
      <c r="I91" s="11">
        <v>22</v>
      </c>
      <c r="J91" s="11"/>
      <c r="K91" s="11"/>
      <c r="L91" s="11"/>
      <c r="M91" s="11"/>
      <c r="N91" s="11">
        <v>1</v>
      </c>
      <c r="O91" s="11"/>
      <c r="P91" s="12">
        <f>CHE[[#This Row],[xPoints Av.]]*CHE[[#This Row],[Regularity]]</f>
        <v>2.8607190469436956</v>
      </c>
      <c r="Q91" s="11" t="s">
        <v>9</v>
      </c>
    </row>
    <row r="92" spans="1:17" ht="30" customHeight="1" x14ac:dyDescent="0.45">
      <c r="A92" s="11" t="s">
        <v>183</v>
      </c>
      <c r="B92" s="11" t="s">
        <v>75</v>
      </c>
      <c r="C9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3.237885811192764</v>
      </c>
      <c r="D92" s="12">
        <f>(CHE[[#This Row],[60+Mins Last Season]]/CHE[[#This Row],[Possible 60+Mins Last Season]] * (38-MAX(GameRecord[GW]))/38) + (CHE[[#This Row],[60+Mins This Season]]/CHE[[#This Row],[Possible 60+Mins This Season]] * (MAX(GameRecord[GW]))/38)</f>
        <v>0.86363636363636365</v>
      </c>
      <c r="E92" s="12">
        <v>0.09</v>
      </c>
      <c r="F92" s="12">
        <v>0.11</v>
      </c>
      <c r="G92" s="12">
        <v>0.45788581119276428</v>
      </c>
      <c r="H92" s="11">
        <v>19</v>
      </c>
      <c r="I92" s="11">
        <v>22</v>
      </c>
      <c r="J92" s="11"/>
      <c r="K92" s="11"/>
      <c r="L92" s="11"/>
      <c r="M92" s="11"/>
      <c r="N92" s="11">
        <v>1</v>
      </c>
      <c r="O92" s="11"/>
      <c r="P92" s="12">
        <f>CHE[[#This Row],[xPoints Av.]]*CHE[[#This Row],[Regularity]]</f>
        <v>2.7963559278482961</v>
      </c>
      <c r="Q92" s="11" t="s">
        <v>9</v>
      </c>
    </row>
    <row r="93" spans="1:17" ht="30" customHeight="1" x14ac:dyDescent="0.45">
      <c r="A93" s="11" t="s">
        <v>180</v>
      </c>
      <c r="B93" s="11" t="s">
        <v>75</v>
      </c>
      <c r="C93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3.9555614266842802</v>
      </c>
      <c r="D93" s="12">
        <f>(CHE[[#This Row],[60+Mins Last Season]]/CHE[[#This Row],[Possible 60+Mins Last Season]] * (38-MAX(GameRecord[GW]))/38) + (CHE[[#This Row],[60+Mins This Season]]/CHE[[#This Row],[Possible 60+Mins This Season]] * (MAX(GameRecord[GW]))/38)</f>
        <v>0.69444444444444442</v>
      </c>
      <c r="E93" s="12">
        <v>0.23</v>
      </c>
      <c r="F93" s="12">
        <v>0.11</v>
      </c>
      <c r="G93" s="12">
        <v>0.47556142668428003</v>
      </c>
      <c r="H93" s="11">
        <v>25</v>
      </c>
      <c r="I93" s="11">
        <v>36</v>
      </c>
      <c r="J93" s="11"/>
      <c r="K93" s="11"/>
      <c r="L93" s="11"/>
      <c r="M93" s="11"/>
      <c r="N93" s="11">
        <v>1</v>
      </c>
      <c r="O93" s="11"/>
      <c r="P93" s="12">
        <f>CHE[[#This Row],[xPoints Av.]]*CHE[[#This Row],[Regularity]]</f>
        <v>2.746917657419639</v>
      </c>
      <c r="Q93" s="11" t="s">
        <v>9</v>
      </c>
    </row>
    <row r="94" spans="1:17" ht="30" customHeight="1" x14ac:dyDescent="0.45">
      <c r="A94" s="11" t="s">
        <v>152</v>
      </c>
      <c r="B94" s="11" t="s">
        <v>64</v>
      </c>
      <c r="C9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3.7891582002902759</v>
      </c>
      <c r="D94" s="12">
        <f>(CHE[[#This Row],[60+Mins Last Season]]/CHE[[#This Row],[Possible 60+Mins Last Season]] * (38-MAX(GameRecord[GW]))/38) + (CHE[[#This Row],[60+Mins This Season]]/CHE[[#This Row],[Possible 60+Mins This Season]] * (MAX(GameRecord[GW]))/38)</f>
        <v>0.71875</v>
      </c>
      <c r="E94" s="12">
        <v>0.05</v>
      </c>
      <c r="F94" s="12">
        <v>0.09</v>
      </c>
      <c r="G94" s="12">
        <f>7/(2067/90)</f>
        <v>0.30478955007256897</v>
      </c>
      <c r="H94" s="11">
        <v>23</v>
      </c>
      <c r="I94" s="11">
        <v>32</v>
      </c>
      <c r="J94" s="11"/>
      <c r="K94" s="11"/>
      <c r="L94" s="11"/>
      <c r="M94" s="11"/>
      <c r="N94" s="11">
        <v>1</v>
      </c>
      <c r="O94" s="11"/>
      <c r="P94" s="12">
        <f>CHE[[#This Row],[xPoints Av.]]*CHE[[#This Row],[Regularity]]</f>
        <v>2.723457456458636</v>
      </c>
      <c r="Q94" s="11" t="s">
        <v>9</v>
      </c>
    </row>
    <row r="95" spans="1:17" ht="30" customHeight="1" x14ac:dyDescent="0.45">
      <c r="A95" s="11" t="s">
        <v>186</v>
      </c>
      <c r="B95" s="11" t="s">
        <v>75</v>
      </c>
      <c r="C9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3.6839175257731958</v>
      </c>
      <c r="D95" s="12">
        <f>(CHE[[#This Row],[60+Mins Last Season]]/CHE[[#This Row],[Possible 60+Mins Last Season]] * (38-MAX(GameRecord[GW]))/38) + (CHE[[#This Row],[60+Mins This Season]]/CHE[[#This Row],[Possible 60+Mins This Season]] * (MAX(GameRecord[GW]))/38)</f>
        <v>0.65217391304347827</v>
      </c>
      <c r="E95" s="12">
        <v>0.1</v>
      </c>
      <c r="F95" s="12">
        <v>0.24</v>
      </c>
      <c r="G95" s="12">
        <v>0.46391752577319589</v>
      </c>
      <c r="H95" s="11">
        <v>15</v>
      </c>
      <c r="I95" s="11">
        <v>23</v>
      </c>
      <c r="J95" s="11"/>
      <c r="K95" s="11"/>
      <c r="L95" s="11"/>
      <c r="M95" s="11"/>
      <c r="N95" s="11">
        <v>1</v>
      </c>
      <c r="O95" s="11"/>
      <c r="P95" s="12">
        <f>CHE[[#This Row],[xPoints Av.]]*CHE[[#This Row],[Regularity]]</f>
        <v>2.4025549081129536</v>
      </c>
      <c r="Q95" s="11" t="s">
        <v>9</v>
      </c>
    </row>
    <row r="96" spans="1:17" ht="30" customHeight="1" x14ac:dyDescent="0.45">
      <c r="A96" s="14" t="s">
        <v>153</v>
      </c>
      <c r="B96" s="11" t="s">
        <v>64</v>
      </c>
      <c r="C9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4.4986746987951802</v>
      </c>
      <c r="D96" s="12">
        <f>(CHE[[#This Row],[60+Mins Last Season]]/CHE[[#This Row],[Possible 60+Mins Last Season]] * (38-MAX(GameRecord[GW]))/38) + (CHE[[#This Row],[60+Mins This Season]]/CHE[[#This Row],[Possible 60+Mins This Season]] * (MAX(GameRecord[GW]))/38)</f>
        <v>0.5</v>
      </c>
      <c r="E96" s="12">
        <v>0.05</v>
      </c>
      <c r="F96" s="12">
        <v>0.01</v>
      </c>
      <c r="G96" s="12">
        <f>9/(1494/90)</f>
        <v>0.54216867469879515</v>
      </c>
      <c r="H96" s="11">
        <v>15</v>
      </c>
      <c r="I96" s="11">
        <v>30</v>
      </c>
      <c r="J96" s="11"/>
      <c r="K96" s="11"/>
      <c r="L96" s="11"/>
      <c r="M96" s="11"/>
      <c r="N96" s="11">
        <v>1</v>
      </c>
      <c r="O96" s="11"/>
      <c r="P96" s="12">
        <f>CHE[[#This Row],[xPoints Av.]]*CHE[[#This Row],[Regularity]]</f>
        <v>2.2493373493975901</v>
      </c>
      <c r="Q96" s="11" t="s">
        <v>9</v>
      </c>
    </row>
    <row r="97" spans="1:17" ht="30" customHeight="1" x14ac:dyDescent="0.45">
      <c r="A97" s="11" t="s">
        <v>189</v>
      </c>
      <c r="B97" s="11" t="s">
        <v>84</v>
      </c>
      <c r="C9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4.17</v>
      </c>
      <c r="D97" s="12">
        <f>(CHE[[#This Row],[60+Mins Last Season]]/CHE[[#This Row],[Possible 60+Mins Last Season]] * (38-MAX(GameRecord[GW]))/38) + (CHE[[#This Row],[60+Mins This Season]]/CHE[[#This Row],[Possible 60+Mins This Season]] * (MAX(GameRecord[GW]))/38)</f>
        <v>0.51724137931034486</v>
      </c>
      <c r="E97" s="12">
        <v>0.4</v>
      </c>
      <c r="F97" s="12">
        <v>0.19</v>
      </c>
      <c r="G97" s="12">
        <v>0.3979785217940619</v>
      </c>
      <c r="H97" s="18">
        <v>15</v>
      </c>
      <c r="I97" s="18">
        <v>29</v>
      </c>
      <c r="J97" s="11"/>
      <c r="K97" s="11"/>
      <c r="L97" s="11"/>
      <c r="M97" s="11"/>
      <c r="N97" s="11">
        <v>1</v>
      </c>
      <c r="O97" s="11"/>
      <c r="P97" s="12">
        <f>CHE[[#This Row],[xPoints Av.]]*CHE[[#This Row],[Regularity]]</f>
        <v>2.1568965517241381</v>
      </c>
      <c r="Q97" s="11" t="s">
        <v>9</v>
      </c>
    </row>
    <row r="98" spans="1:17" ht="30" customHeight="1" x14ac:dyDescent="0.45">
      <c r="A98" s="11" t="s">
        <v>151</v>
      </c>
      <c r="B98" s="11" t="s">
        <v>64</v>
      </c>
      <c r="C9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4.7191154111955766</v>
      </c>
      <c r="D98" s="12">
        <f>(CHE[[#This Row],[60+Mins Last Season]]/CHE[[#This Row],[Possible 60+Mins Last Season]] * (38-MAX(GameRecord[GW]))/38) + (CHE[[#This Row],[60+Mins This Season]]/CHE[[#This Row],[Possible 60+Mins This Season]] * (MAX(GameRecord[GW]))/38)</f>
        <v>0.45161290322580644</v>
      </c>
      <c r="E98" s="12">
        <v>7.0000000000000007E-2</v>
      </c>
      <c r="F98" s="12">
        <v>0.02</v>
      </c>
      <c r="G98" s="12">
        <f>9/(1447/90)</f>
        <v>0.55977885279889417</v>
      </c>
      <c r="H98" s="11">
        <v>14</v>
      </c>
      <c r="I98" s="11">
        <v>31</v>
      </c>
      <c r="J98" s="11"/>
      <c r="K98" s="11"/>
      <c r="L98" s="11"/>
      <c r="M98" s="11"/>
      <c r="N98" s="11">
        <v>1</v>
      </c>
      <c r="O98" s="11"/>
      <c r="P98" s="12">
        <f>CHE[[#This Row],[xPoints Av.]]*CHE[[#This Row],[Regularity]]</f>
        <v>2.1312134115076797</v>
      </c>
      <c r="Q98" s="11" t="s">
        <v>9</v>
      </c>
    </row>
    <row r="99" spans="1:17" ht="30" customHeight="1" x14ac:dyDescent="0.45">
      <c r="A99" s="13" t="s">
        <v>188</v>
      </c>
      <c r="B99" s="11" t="s">
        <v>75</v>
      </c>
      <c r="C9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4.5836743215031319</v>
      </c>
      <c r="D99" s="12">
        <f>(CHE[[#This Row],[60+Mins Last Season]]/CHE[[#This Row],[Possible 60+Mins Last Season]] * (38-MAX(GameRecord[GW]))/38) + (CHE[[#This Row],[60+Mins This Season]]/CHE[[#This Row],[Possible 60+Mins This Season]] * (MAX(GameRecord[GW]))/38)</f>
        <v>0.45833333333333326</v>
      </c>
      <c r="E99" s="12">
        <v>0.26</v>
      </c>
      <c r="F99" s="12">
        <v>0.24</v>
      </c>
      <c r="G99" s="12">
        <v>0.56367432150313157</v>
      </c>
      <c r="H99" s="18">
        <v>11</v>
      </c>
      <c r="I99" s="18">
        <v>24</v>
      </c>
      <c r="J99" s="11"/>
      <c r="K99" s="11"/>
      <c r="L99" s="11"/>
      <c r="M99" s="11"/>
      <c r="N99" s="11">
        <v>1</v>
      </c>
      <c r="O99" s="11"/>
      <c r="P99" s="12">
        <f>CHE[[#This Row],[xPoints Av.]]*CHE[[#This Row],[Regularity]]</f>
        <v>2.100850730688935</v>
      </c>
      <c r="Q99" s="11" t="s">
        <v>9</v>
      </c>
    </row>
    <row r="100" spans="1:17" ht="30" customHeight="1" x14ac:dyDescent="0.45">
      <c r="A100" s="11" t="s">
        <v>190</v>
      </c>
      <c r="B100" s="11" t="s">
        <v>84</v>
      </c>
      <c r="C10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3.7800000000000002</v>
      </c>
      <c r="D100" s="12">
        <f>(CHE[[#This Row],[60+Mins Last Season]]/CHE[[#This Row],[Possible 60+Mins Last Season]] * (38-MAX(GameRecord[GW]))/38) + (CHE[[#This Row],[60+Mins This Season]]/CHE[[#This Row],[Possible 60+Mins This Season]] * (MAX(GameRecord[GW]))/38)</f>
        <v>0.55555555555555558</v>
      </c>
      <c r="E100" s="12">
        <v>0.43</v>
      </c>
      <c r="F100" s="12">
        <v>0.02</v>
      </c>
      <c r="G100" s="12">
        <v>0.35211267605633806</v>
      </c>
      <c r="H100" s="18">
        <v>15</v>
      </c>
      <c r="I100" s="18">
        <v>27</v>
      </c>
      <c r="J100" s="11"/>
      <c r="K100" s="11"/>
      <c r="L100" s="11"/>
      <c r="M100" s="11"/>
      <c r="N100" s="11">
        <v>1</v>
      </c>
      <c r="O100" s="11"/>
      <c r="P100" s="12">
        <f>CHE[[#This Row],[xPoints Av.]]*CHE[[#This Row],[Regularity]]</f>
        <v>2.1</v>
      </c>
      <c r="Q100" s="11" t="s">
        <v>9</v>
      </c>
    </row>
    <row r="101" spans="1:17" ht="30" customHeight="1" x14ac:dyDescent="0.45">
      <c r="A101" s="11" t="s">
        <v>184</v>
      </c>
      <c r="B101" s="11" t="s">
        <v>75</v>
      </c>
      <c r="C10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4.3405491990846681</v>
      </c>
      <c r="D101" s="12">
        <f>(CHE[[#This Row],[60+Mins Last Season]]/CHE[[#This Row],[Possible 60+Mins Last Season]] * (38-MAX(GameRecord[GW]))/38) + (CHE[[#This Row],[60+Mins This Season]]/CHE[[#This Row],[Possible 60+Mins This Season]] * (MAX(GameRecord[GW]))/38)</f>
        <v>0.41176470588235292</v>
      </c>
      <c r="E101" s="12">
        <v>0.21</v>
      </c>
      <c r="F101" s="12">
        <v>0.27</v>
      </c>
      <c r="G101" s="12">
        <v>0.4805491990846682</v>
      </c>
      <c r="H101" s="11">
        <v>14</v>
      </c>
      <c r="I101" s="11">
        <v>34</v>
      </c>
      <c r="J101" s="11"/>
      <c r="K101" s="11"/>
      <c r="L101" s="11"/>
      <c r="M101" s="11"/>
      <c r="N101" s="11">
        <v>1</v>
      </c>
      <c r="O101" s="11"/>
      <c r="P101" s="12">
        <f>CHE[[#This Row],[xPoints Av.]]*CHE[[#This Row],[Regularity]]</f>
        <v>1.787284964328981</v>
      </c>
      <c r="Q101" s="11" t="s">
        <v>9</v>
      </c>
    </row>
    <row r="102" spans="1:17" ht="30" customHeight="1" x14ac:dyDescent="0.45">
      <c r="A102" s="13" t="s">
        <v>187</v>
      </c>
      <c r="B102" s="11" t="s">
        <v>75</v>
      </c>
      <c r="C10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3.1351445086705203</v>
      </c>
      <c r="D102" s="12">
        <f>(CHE[[#This Row],[60+Mins Last Season]]/CHE[[#This Row],[Possible 60+Mins Last Season]] * (38-MAX(GameRecord[GW]))/38) + (CHE[[#This Row],[60+Mins This Season]]/CHE[[#This Row],[Possible 60+Mins This Season]] * (MAX(GameRecord[GW]))/38)</f>
        <v>0.4333333333333334</v>
      </c>
      <c r="E102" s="12">
        <v>0.06</v>
      </c>
      <c r="F102" s="12">
        <v>0.17</v>
      </c>
      <c r="G102" s="12">
        <v>0.32514450867052025</v>
      </c>
      <c r="H102" s="11">
        <v>13</v>
      </c>
      <c r="I102" s="11">
        <v>30</v>
      </c>
      <c r="J102" s="11"/>
      <c r="K102" s="11"/>
      <c r="L102" s="11"/>
      <c r="M102" s="11"/>
      <c r="N102" s="11">
        <v>1</v>
      </c>
      <c r="O102" s="11"/>
      <c r="P102" s="12">
        <f>CHE[[#This Row],[xPoints Av.]]*CHE[[#This Row],[Regularity]]</f>
        <v>1.3585626204238923</v>
      </c>
      <c r="Q102" s="11" t="s">
        <v>9</v>
      </c>
    </row>
    <row r="104" spans="1:17" ht="30" customHeight="1" x14ac:dyDescent="0.35">
      <c r="A104" s="24" t="s">
        <v>191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30" customHeight="1" x14ac:dyDescent="0.35">
      <c r="A105" s="2" t="s">
        <v>52</v>
      </c>
      <c r="B105" s="2" t="s">
        <v>86</v>
      </c>
      <c r="C105" s="2" t="s">
        <v>59</v>
      </c>
      <c r="D105" s="2" t="s">
        <v>54</v>
      </c>
      <c r="E105" s="2" t="s">
        <v>55</v>
      </c>
      <c r="F105" s="2" t="s">
        <v>56</v>
      </c>
      <c r="G105" s="2" t="s">
        <v>65</v>
      </c>
      <c r="H105" s="2" t="s">
        <v>88</v>
      </c>
      <c r="I105" s="2" t="s">
        <v>89</v>
      </c>
      <c r="J105" s="2" t="s">
        <v>57</v>
      </c>
      <c r="K105" s="2" t="s">
        <v>58</v>
      </c>
      <c r="L105" s="2" t="s">
        <v>66</v>
      </c>
      <c r="M105" s="2" t="s">
        <v>87</v>
      </c>
      <c r="N105" s="2" t="s">
        <v>90</v>
      </c>
      <c r="O105" s="2" t="s">
        <v>67</v>
      </c>
      <c r="P105" s="2" t="s">
        <v>53</v>
      </c>
      <c r="Q105" s="2" t="s">
        <v>0</v>
      </c>
    </row>
    <row r="106" spans="1:17" ht="30" customHeight="1" x14ac:dyDescent="0.45">
      <c r="A106" s="11" t="s">
        <v>199</v>
      </c>
      <c r="B106" s="11" t="s">
        <v>75</v>
      </c>
      <c r="C10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4.488825661471548</v>
      </c>
      <c r="D106" s="12">
        <f>(CRY[[#This Row],[60+Mins Last Season]]/CRY[[#This Row],[Possible 60+Mins Last Season]] * (38-MAX(GameRecord[GW]))/38) + (CRY[[#This Row],[60+Mins This Season]]/CRY[[#This Row],[Possible 60+Mins This Season]] * (MAX(GameRecord[GW]))/38)</f>
        <v>0.78947368421052633</v>
      </c>
      <c r="E106" s="12">
        <v>0.33</v>
      </c>
      <c r="F106" s="12">
        <v>0.16</v>
      </c>
      <c r="G106" s="12">
        <v>0.35882566147154765</v>
      </c>
      <c r="H106" s="11">
        <v>30</v>
      </c>
      <c r="I106" s="11">
        <v>38</v>
      </c>
      <c r="J106" s="11"/>
      <c r="K106" s="11"/>
      <c r="L106" s="11"/>
      <c r="M106" s="11"/>
      <c r="N106" s="11">
        <v>1</v>
      </c>
      <c r="O106" s="11"/>
      <c r="P106" s="12">
        <f>CRY[[#This Row],[xPoints Av.]]*CRY[[#This Row],[Regularity]]</f>
        <v>3.5438097327406957</v>
      </c>
      <c r="Q106" s="11" t="s">
        <v>17</v>
      </c>
    </row>
    <row r="107" spans="1:17" ht="30" customHeight="1" x14ac:dyDescent="0.45">
      <c r="A107" s="11" t="s">
        <v>194</v>
      </c>
      <c r="B107" s="11" t="s">
        <v>64</v>
      </c>
      <c r="C10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3.739050279329609</v>
      </c>
      <c r="D107" s="12">
        <f>(CRY[[#This Row],[60+Mins Last Season]]/CRY[[#This Row],[Possible 60+Mins Last Season]] * (38-MAX(GameRecord[GW]))/38) + (CRY[[#This Row],[60+Mins This Season]]/CRY[[#This Row],[Possible 60+Mins This Season]] * (MAX(GameRecord[GW]))/38)</f>
        <v>0.94736842105263153</v>
      </c>
      <c r="E107" s="12">
        <v>7.0000000000000007E-2</v>
      </c>
      <c r="F107" s="12">
        <v>0.03</v>
      </c>
      <c r="G107" s="12">
        <v>0.30726256983240224</v>
      </c>
      <c r="H107" s="11">
        <v>36</v>
      </c>
      <c r="I107" s="11">
        <v>38</v>
      </c>
      <c r="J107" s="11"/>
      <c r="K107" s="11"/>
      <c r="L107" s="11"/>
      <c r="M107" s="11"/>
      <c r="N107" s="11">
        <v>1</v>
      </c>
      <c r="O107" s="11"/>
      <c r="P107" s="12">
        <f>CRY[[#This Row],[xPoints Av.]]*CRY[[#This Row],[Regularity]]</f>
        <v>3.5422581593648927</v>
      </c>
      <c r="Q107" s="11" t="s">
        <v>17</v>
      </c>
    </row>
    <row r="108" spans="1:17" ht="30" customHeight="1" x14ac:dyDescent="0.45">
      <c r="A108" s="11" t="s">
        <v>200</v>
      </c>
      <c r="B108" s="11" t="s">
        <v>75</v>
      </c>
      <c r="C10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3.9382237073513893</v>
      </c>
      <c r="D108" s="12">
        <f>(CRY[[#This Row],[60+Mins Last Season]]/CRY[[#This Row],[Possible 60+Mins Last Season]] * (38-MAX(GameRecord[GW]))/38) + (CRY[[#This Row],[60+Mins This Season]]/CRY[[#This Row],[Possible 60+Mins This Season]] * (MAX(GameRecord[GW]))/38)</f>
        <v>0.86111111111111105</v>
      </c>
      <c r="E108" s="12">
        <v>0.24</v>
      </c>
      <c r="F108" s="12">
        <v>0.13</v>
      </c>
      <c r="G108" s="12">
        <v>0.34822370735138936</v>
      </c>
      <c r="H108" s="11">
        <v>31</v>
      </c>
      <c r="I108" s="11">
        <v>36</v>
      </c>
      <c r="J108" s="11"/>
      <c r="K108" s="11"/>
      <c r="L108" s="11"/>
      <c r="M108" s="11"/>
      <c r="N108" s="11">
        <v>1</v>
      </c>
      <c r="O108" s="11"/>
      <c r="P108" s="12">
        <f>CRY[[#This Row],[xPoints Av.]]*CRY[[#This Row],[Regularity]]</f>
        <v>3.3912481924414739</v>
      </c>
      <c r="Q108" s="11" t="s">
        <v>17</v>
      </c>
    </row>
    <row r="109" spans="1:17" ht="30" customHeight="1" x14ac:dyDescent="0.45">
      <c r="A109" s="11" t="s">
        <v>193</v>
      </c>
      <c r="B109" s="11" t="s">
        <v>64</v>
      </c>
      <c r="C10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3.6624982841455043</v>
      </c>
      <c r="D109" s="12">
        <f>(CRY[[#This Row],[60+Mins Last Season]]/CRY[[#This Row],[Possible 60+Mins Last Season]] * (38-MAX(GameRecord[GW]))/38) + (CRY[[#This Row],[60+Mins This Season]]/CRY[[#This Row],[Possible 60+Mins This Season]] * (MAX(GameRecord[GW]))/38)</f>
        <v>0.84210526315789469</v>
      </c>
      <c r="E109" s="12">
        <v>0.01</v>
      </c>
      <c r="F109" s="12">
        <v>0.04</v>
      </c>
      <c r="G109" s="12">
        <v>0.37062457103637608</v>
      </c>
      <c r="H109" s="11">
        <v>32</v>
      </c>
      <c r="I109" s="11">
        <v>38</v>
      </c>
      <c r="J109" s="11"/>
      <c r="K109" s="11"/>
      <c r="L109" s="11"/>
      <c r="M109" s="11"/>
      <c r="N109" s="11">
        <v>1</v>
      </c>
      <c r="O109" s="11"/>
      <c r="P109" s="12">
        <f>CRY[[#This Row],[xPoints Av.]]*CRY[[#This Row],[Regularity]]</f>
        <v>3.0842090813856875</v>
      </c>
      <c r="Q109" s="11" t="s">
        <v>17</v>
      </c>
    </row>
    <row r="110" spans="1:17" ht="30" customHeight="1" x14ac:dyDescent="0.45">
      <c r="A110" s="11" t="s">
        <v>195</v>
      </c>
      <c r="B110" s="11" t="s">
        <v>64</v>
      </c>
      <c r="C11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3.4009158336020637</v>
      </c>
      <c r="D110" s="12">
        <f>(CRY[[#This Row],[60+Mins Last Season]]/CRY[[#This Row],[Possible 60+Mins Last Season]] * (38-MAX(GameRecord[GW]))/38) + (CRY[[#This Row],[60+Mins This Season]]/CRY[[#This Row],[Possible 60+Mins This Season]] * (MAX(GameRecord[GW]))/38)</f>
        <v>0.89473684210526316</v>
      </c>
      <c r="E110" s="12">
        <v>0.01</v>
      </c>
      <c r="F110" s="12">
        <v>0.06</v>
      </c>
      <c r="G110" s="12">
        <v>0.29022895840051594</v>
      </c>
      <c r="H110" s="11">
        <v>34</v>
      </c>
      <c r="I110" s="11">
        <v>38</v>
      </c>
      <c r="J110" s="11"/>
      <c r="K110" s="11"/>
      <c r="L110" s="11"/>
      <c r="M110" s="11"/>
      <c r="N110" s="11">
        <v>1</v>
      </c>
      <c r="O110" s="11"/>
      <c r="P110" s="12">
        <f>CRY[[#This Row],[xPoints Av.]]*CRY[[#This Row],[Regularity]]</f>
        <v>3.0429246932228993</v>
      </c>
      <c r="Q110" s="11" t="s">
        <v>17</v>
      </c>
    </row>
    <row r="111" spans="1:17" ht="30" customHeight="1" x14ac:dyDescent="0.45">
      <c r="A111" s="11" t="s">
        <v>192</v>
      </c>
      <c r="B111" s="11" t="s">
        <v>62</v>
      </c>
      <c r="C11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3.4915254237288136</v>
      </c>
      <c r="D111" s="12">
        <f>(CRY[[#This Row],[60+Mins Last Season]]/CRY[[#This Row],[Possible 60+Mins Last Season]] * (38-MAX(GameRecord[GW]))/38) + (CRY[[#This Row],[60+Mins This Season]]/CRY[[#This Row],[Possible 60+Mins This Season]] * (MAX(GameRecord[GW]))/38)</f>
        <v>0.76315789473684215</v>
      </c>
      <c r="E111" s="12">
        <v>0</v>
      </c>
      <c r="F111" s="12">
        <v>0</v>
      </c>
      <c r="G111" s="12">
        <v>0.3728813559322034</v>
      </c>
      <c r="H111" s="11">
        <v>29</v>
      </c>
      <c r="I111" s="11">
        <v>38</v>
      </c>
      <c r="J111" s="11"/>
      <c r="K111" s="11"/>
      <c r="L111" s="11"/>
      <c r="M111" s="11"/>
      <c r="N111" s="11">
        <v>1</v>
      </c>
      <c r="O111" s="11"/>
      <c r="P111" s="12">
        <f>CRY[[#This Row],[xPoints Av.]]*CRY[[#This Row],[Regularity]]</f>
        <v>2.6645851917930421</v>
      </c>
      <c r="Q111" s="11" t="s">
        <v>17</v>
      </c>
    </row>
    <row r="112" spans="1:17" ht="30" customHeight="1" x14ac:dyDescent="0.45">
      <c r="A112" s="11" t="s">
        <v>197</v>
      </c>
      <c r="B112" s="11" t="s">
        <v>64</v>
      </c>
      <c r="C112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3.3932984714400645</v>
      </c>
      <c r="D112" s="12">
        <f>(CRY[[#This Row],[60+Mins Last Season]]/CRY[[#This Row],[Possible 60+Mins Last Season]] * (38-MAX(GameRecord[GW]))/38) + (CRY[[#This Row],[60+Mins This Season]]/CRY[[#This Row],[Possible 60+Mins This Season]] * (MAX(GameRecord[GW]))/38)</f>
        <v>0.71052631578947367</v>
      </c>
      <c r="E112" s="12">
        <v>0.01</v>
      </c>
      <c r="F112" s="12">
        <v>0.01</v>
      </c>
      <c r="G112" s="12">
        <v>0.3258246178600161</v>
      </c>
      <c r="H112" s="11">
        <v>27</v>
      </c>
      <c r="I112" s="11">
        <v>38</v>
      </c>
      <c r="J112" s="11"/>
      <c r="K112" s="11"/>
      <c r="L112" s="11"/>
      <c r="M112" s="11"/>
      <c r="N112" s="11">
        <v>1</v>
      </c>
      <c r="O112" s="11"/>
      <c r="P112" s="12">
        <f>CRY[[#This Row],[xPoints Av.]]*CRY[[#This Row],[Regularity]]</f>
        <v>2.4110278612863616</v>
      </c>
      <c r="Q112" s="11" t="s">
        <v>17</v>
      </c>
    </row>
    <row r="113" spans="1:17" ht="30" customHeight="1" x14ac:dyDescent="0.45">
      <c r="A113" s="11" t="s">
        <v>204</v>
      </c>
      <c r="B113" s="11" t="s">
        <v>84</v>
      </c>
      <c r="C113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3.84</v>
      </c>
      <c r="D113" s="12">
        <f>(CRY[[#This Row],[60+Mins Last Season]]/CRY[[#This Row],[Possible 60+Mins Last Season]] * (38-MAX(GameRecord[GW]))/38) + (CRY[[#This Row],[60+Mins This Season]]/CRY[[#This Row],[Possible 60+Mins This Season]] * (MAX(GameRecord[GW]))/38)</f>
        <v>0.55882352941176472</v>
      </c>
      <c r="E113" s="12">
        <v>0.37</v>
      </c>
      <c r="F113" s="12">
        <v>0.12</v>
      </c>
      <c r="G113" s="12">
        <v>0.31380753138075312</v>
      </c>
      <c r="H113" s="11">
        <v>19</v>
      </c>
      <c r="I113" s="11">
        <v>34</v>
      </c>
      <c r="J113" s="11"/>
      <c r="K113" s="11"/>
      <c r="L113" s="11"/>
      <c r="M113" s="11"/>
      <c r="N113" s="11">
        <v>1</v>
      </c>
      <c r="O113" s="11"/>
      <c r="P113" s="12">
        <f>CRY[[#This Row],[xPoints Av.]]*CRY[[#This Row],[Regularity]]</f>
        <v>2.1458823529411766</v>
      </c>
      <c r="Q113" s="11" t="s">
        <v>17</v>
      </c>
    </row>
    <row r="114" spans="1:17" ht="30" customHeight="1" x14ac:dyDescent="0.45">
      <c r="A114" s="11" t="s">
        <v>196</v>
      </c>
      <c r="B114" s="11" t="s">
        <v>64</v>
      </c>
      <c r="C114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3.6119289340101526</v>
      </c>
      <c r="D114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4" s="12">
        <v>0.01</v>
      </c>
      <c r="F114" s="12">
        <v>0.03</v>
      </c>
      <c r="G114" s="12">
        <v>0.36548223350253806</v>
      </c>
      <c r="H114" s="11">
        <v>21</v>
      </c>
      <c r="I114" s="11">
        <v>38</v>
      </c>
      <c r="J114" s="11"/>
      <c r="K114" s="11"/>
      <c r="L114" s="11"/>
      <c r="M114" s="11"/>
      <c r="N114" s="11">
        <v>1</v>
      </c>
      <c r="O114" s="11"/>
      <c r="P114" s="12">
        <f>CRY[[#This Row],[xPoints Av.]]*CRY[[#This Row],[Regularity]]</f>
        <v>1.996065989847716</v>
      </c>
      <c r="Q114" s="11" t="s">
        <v>17</v>
      </c>
    </row>
    <row r="115" spans="1:17" ht="30" customHeight="1" x14ac:dyDescent="0.45">
      <c r="A115" s="11" t="s">
        <v>201</v>
      </c>
      <c r="B115" s="11" t="s">
        <v>75</v>
      </c>
      <c r="C115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3.5913043478260871</v>
      </c>
      <c r="D115" s="12">
        <f>(CRY[[#This Row],[60+Mins Last Season]]/CRY[[#This Row],[Possible 60+Mins Last Season]] * (38-MAX(GameRecord[GW]))/38) + (CRY[[#This Row],[60+Mins This Season]]/CRY[[#This Row],[Possible 60+Mins This Season]] * (MAX(GameRecord[GW]))/38)</f>
        <v>0.5</v>
      </c>
      <c r="E115" s="12">
        <v>0.18</v>
      </c>
      <c r="F115" s="12">
        <v>0.1</v>
      </c>
      <c r="G115" s="12">
        <v>0.39130434782608697</v>
      </c>
      <c r="H115" s="11">
        <v>19</v>
      </c>
      <c r="I115" s="11">
        <v>38</v>
      </c>
      <c r="J115" s="11"/>
      <c r="K115" s="11"/>
      <c r="L115" s="11"/>
      <c r="M115" s="11"/>
      <c r="N115" s="11">
        <v>1</v>
      </c>
      <c r="O115" s="11"/>
      <c r="P115" s="12">
        <f>CRY[[#This Row],[xPoints Av.]]*CRY[[#This Row],[Regularity]]</f>
        <v>1.7956521739130435</v>
      </c>
      <c r="Q115" s="11" t="s">
        <v>17</v>
      </c>
    </row>
    <row r="116" spans="1:17" ht="30" customHeight="1" x14ac:dyDescent="0.45">
      <c r="A116" s="11" t="s">
        <v>205</v>
      </c>
      <c r="B116" s="11" t="s">
        <v>84</v>
      </c>
      <c r="C11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3.15</v>
      </c>
      <c r="D116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6" s="12">
        <v>0.19</v>
      </c>
      <c r="F116" s="12">
        <v>0.13</v>
      </c>
      <c r="G116" s="12">
        <v>0.40258449304174954</v>
      </c>
      <c r="H116" s="11">
        <v>21</v>
      </c>
      <c r="I116" s="11">
        <v>38</v>
      </c>
      <c r="J116" s="11"/>
      <c r="K116" s="11"/>
      <c r="L116" s="11"/>
      <c r="M116" s="11"/>
      <c r="N116" s="11">
        <v>1</v>
      </c>
      <c r="O116" s="11"/>
      <c r="P116" s="12">
        <f>CRY[[#This Row],[xPoints Av.]]*CRY[[#This Row],[Regularity]]</f>
        <v>1.7407894736842107</v>
      </c>
      <c r="Q116" s="11" t="s">
        <v>17</v>
      </c>
    </row>
    <row r="117" spans="1:17" ht="30" customHeight="1" x14ac:dyDescent="0.45">
      <c r="A117" s="11" t="s">
        <v>198</v>
      </c>
      <c r="B117" s="11" t="s">
        <v>64</v>
      </c>
      <c r="C11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3.6588156920799406</v>
      </c>
      <c r="D117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17" s="12">
        <v>0</v>
      </c>
      <c r="F117" s="12">
        <v>0.02</v>
      </c>
      <c r="G117" s="12">
        <v>0.3997039230199852</v>
      </c>
      <c r="H117" s="11">
        <v>15</v>
      </c>
      <c r="I117" s="11">
        <v>38</v>
      </c>
      <c r="J117" s="11"/>
      <c r="K117" s="11"/>
      <c r="L117" s="11"/>
      <c r="M117" s="11"/>
      <c r="N117" s="11">
        <v>1</v>
      </c>
      <c r="O117" s="11"/>
      <c r="P117" s="12">
        <f>CRY[[#This Row],[xPoints Av.]]*CRY[[#This Row],[Regularity]]</f>
        <v>1.4442693521368186</v>
      </c>
      <c r="Q117" s="11" t="s">
        <v>17</v>
      </c>
    </row>
    <row r="118" spans="1:17" ht="30" customHeight="1" x14ac:dyDescent="0.45">
      <c r="A118" s="11" t="s">
        <v>202</v>
      </c>
      <c r="B118" s="11" t="s">
        <v>75</v>
      </c>
      <c r="C11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4.1194321206743574</v>
      </c>
      <c r="D118" s="12">
        <f>(CRY[[#This Row],[60+Mins Last Season]]/CRY[[#This Row],[Possible 60+Mins Last Season]] * (38-MAX(GameRecord[GW]))/38) + (CRY[[#This Row],[60+Mins This Season]]/CRY[[#This Row],[Possible 60+Mins This Season]] * (MAX(GameRecord[GW]))/38)</f>
        <v>0.30555555555555558</v>
      </c>
      <c r="E118" s="12">
        <v>0.12</v>
      </c>
      <c r="F118" s="12">
        <v>0.4</v>
      </c>
      <c r="G118" s="12">
        <v>0.31943212067435672</v>
      </c>
      <c r="H118" s="11">
        <v>11</v>
      </c>
      <c r="I118" s="11">
        <v>36</v>
      </c>
      <c r="J118" s="11"/>
      <c r="K118" s="11"/>
      <c r="L118" s="11"/>
      <c r="M118" s="11"/>
      <c r="N118" s="11">
        <v>1</v>
      </c>
      <c r="O118" s="11"/>
      <c r="P118" s="12">
        <f>CRY[[#This Row],[xPoints Av.]]*CRY[[#This Row],[Regularity]]</f>
        <v>1.2587153702060538</v>
      </c>
      <c r="Q118" s="11" t="s">
        <v>17</v>
      </c>
    </row>
    <row r="119" spans="1:17" ht="30" customHeight="1" x14ac:dyDescent="0.45">
      <c r="A119" s="11" t="s">
        <v>206</v>
      </c>
      <c r="B119" s="11" t="s">
        <v>84</v>
      </c>
      <c r="C11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3.9000000000000004</v>
      </c>
      <c r="D119" s="12">
        <f>(CRY[[#This Row],[60+Mins Last Season]]/CRY[[#This Row],[Possible 60+Mins Last Season]] * (38-MAX(GameRecord[GW]))/38) + (CRY[[#This Row],[60+Mins This Season]]/CRY[[#This Row],[Possible 60+Mins This Season]] * (MAX(GameRecord[GW]))/38)</f>
        <v>0.31578947368421051</v>
      </c>
      <c r="E119" s="12">
        <v>0.46</v>
      </c>
      <c r="F119" s="12">
        <v>0.02</v>
      </c>
      <c r="G119" s="12">
        <v>0.39543057996485065</v>
      </c>
      <c r="H119" s="11">
        <v>12</v>
      </c>
      <c r="I119" s="11">
        <v>38</v>
      </c>
      <c r="J119" s="11"/>
      <c r="K119" s="11"/>
      <c r="L119" s="11"/>
      <c r="M119" s="11"/>
      <c r="N119" s="11">
        <v>1</v>
      </c>
      <c r="O119" s="11"/>
      <c r="P119" s="12">
        <f>CRY[[#This Row],[xPoints Av.]]*CRY[[#This Row],[Regularity]]</f>
        <v>1.2315789473684211</v>
      </c>
      <c r="Q119" s="11" t="s">
        <v>17</v>
      </c>
    </row>
    <row r="120" spans="1:17" ht="30" customHeight="1" x14ac:dyDescent="0.45">
      <c r="A120" s="11" t="s">
        <v>207</v>
      </c>
      <c r="B120" s="11" t="s">
        <v>84</v>
      </c>
      <c r="C12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3.91</v>
      </c>
      <c r="D120" s="12">
        <f>(CRY[[#This Row],[60+Mins Last Season]]/CRY[[#This Row],[Possible 60+Mins Last Season]] * (38-MAX(GameRecord[GW]))/38) + (CRY[[#This Row],[60+Mins This Season]]/CRY[[#This Row],[Possible 60+Mins This Season]] * (MAX(GameRecord[GW]))/38)</f>
        <v>0.28947368421052633</v>
      </c>
      <c r="E120" s="12">
        <v>0.38</v>
      </c>
      <c r="F120" s="12">
        <v>0.13</v>
      </c>
      <c r="G120" s="12">
        <v>0.31802120141342755</v>
      </c>
      <c r="H120" s="11">
        <v>11</v>
      </c>
      <c r="I120" s="11">
        <v>38</v>
      </c>
      <c r="J120" s="11"/>
      <c r="K120" s="11"/>
      <c r="L120" s="11"/>
      <c r="M120" s="11"/>
      <c r="N120" s="11">
        <v>1</v>
      </c>
      <c r="O120" s="11"/>
      <c r="P120" s="12">
        <f>CRY[[#This Row],[xPoints Av.]]*CRY[[#This Row],[Regularity]]</f>
        <v>1.131842105263158</v>
      </c>
      <c r="Q120" s="11" t="s">
        <v>17</v>
      </c>
    </row>
    <row r="121" spans="1:17" ht="30" customHeight="1" x14ac:dyDescent="0.45">
      <c r="A121" s="11" t="s">
        <v>203</v>
      </c>
      <c r="B121" s="11" t="s">
        <v>75</v>
      </c>
      <c r="C12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2.6538075313807532</v>
      </c>
      <c r="D121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21" s="12">
        <v>0.02</v>
      </c>
      <c r="F121" s="12">
        <v>0.08</v>
      </c>
      <c r="G121" s="12">
        <v>0.31380753138075312</v>
      </c>
      <c r="H121" s="11">
        <v>15</v>
      </c>
      <c r="I121" s="11">
        <v>38</v>
      </c>
      <c r="J121" s="11"/>
      <c r="K121" s="11"/>
      <c r="L121" s="11"/>
      <c r="M121" s="11"/>
      <c r="N121" s="11">
        <v>1</v>
      </c>
      <c r="O121" s="11"/>
      <c r="P121" s="12">
        <f>CRY[[#This Row],[xPoints Av.]]*CRY[[#This Row],[Regularity]]</f>
        <v>1.0475556044924026</v>
      </c>
      <c r="Q121" s="11" t="s">
        <v>17</v>
      </c>
    </row>
    <row r="123" spans="1:17" ht="30" customHeight="1" x14ac:dyDescent="0.35">
      <c r="A123" s="24" t="s">
        <v>208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</row>
    <row r="124" spans="1:17" ht="30" customHeight="1" x14ac:dyDescent="0.35">
      <c r="A124" s="2" t="s">
        <v>52</v>
      </c>
      <c r="B124" s="2" t="s">
        <v>86</v>
      </c>
      <c r="C124" s="2" t="s">
        <v>59</v>
      </c>
      <c r="D124" s="2" t="s">
        <v>54</v>
      </c>
      <c r="E124" s="2" t="s">
        <v>55</v>
      </c>
      <c r="F124" s="2" t="s">
        <v>56</v>
      </c>
      <c r="G124" s="2" t="s">
        <v>65</v>
      </c>
      <c r="H124" s="2" t="s">
        <v>88</v>
      </c>
      <c r="I124" s="2" t="s">
        <v>89</v>
      </c>
      <c r="J124" s="2" t="s">
        <v>57</v>
      </c>
      <c r="K124" s="2" t="s">
        <v>58</v>
      </c>
      <c r="L124" s="2" t="s">
        <v>66</v>
      </c>
      <c r="M124" s="2" t="s">
        <v>87</v>
      </c>
      <c r="N124" s="2" t="s">
        <v>90</v>
      </c>
      <c r="O124" s="2" t="s">
        <v>67</v>
      </c>
      <c r="P124" s="2" t="s">
        <v>53</v>
      </c>
      <c r="Q124" s="2" t="s">
        <v>0</v>
      </c>
    </row>
    <row r="125" spans="1:17" ht="30" customHeight="1" x14ac:dyDescent="0.45">
      <c r="A125" s="11" t="s">
        <v>223</v>
      </c>
      <c r="B125" s="11" t="s">
        <v>84</v>
      </c>
      <c r="C12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3.92</v>
      </c>
      <c r="D125" s="12">
        <f>(EVE[[#This Row],[60+Mins Last Season]]/EVE[[#This Row],[Possible 60+Mins Last Season]] * (38-MAX(GameRecord[GW]))/38) + (EVE[[#This Row],[60+Mins This Season]]/EVE[[#This Row],[Possible 60+Mins This Season]] * (MAX(GameRecord[GW]))/38)</f>
        <v>0.96428571428571441</v>
      </c>
      <c r="E125" s="12">
        <v>0.36</v>
      </c>
      <c r="F125" s="12">
        <v>0.16</v>
      </c>
      <c r="G125" s="12">
        <v>0.24980174464710547</v>
      </c>
      <c r="H125" s="11">
        <v>27</v>
      </c>
      <c r="I125" s="11">
        <v>28</v>
      </c>
      <c r="J125" s="11"/>
      <c r="K125" s="11"/>
      <c r="L125" s="11"/>
      <c r="M125" s="11"/>
      <c r="N125" s="11">
        <v>1</v>
      </c>
      <c r="O125" s="11"/>
      <c r="P125" s="12">
        <f>EVE[[#This Row],[xPoints Av.]]*EVE[[#This Row],[Regularity]]</f>
        <v>3.7800000000000002</v>
      </c>
      <c r="Q125" s="11" t="s">
        <v>21</v>
      </c>
    </row>
    <row r="126" spans="1:17" ht="30" customHeight="1" x14ac:dyDescent="0.45">
      <c r="A126" s="11" t="s">
        <v>211</v>
      </c>
      <c r="B126" s="11" t="s">
        <v>64</v>
      </c>
      <c r="C12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3.2787951807228914</v>
      </c>
      <c r="D126" s="12">
        <f>(EVE[[#This Row],[60+Mins Last Season]]/EVE[[#This Row],[Possible 60+Mins Last Season]] * (38-MAX(GameRecord[GW]))/38) + (EVE[[#This Row],[60+Mins This Season]]/EVE[[#This Row],[Possible 60+Mins This Season]] * (MAX(GameRecord[GW]))/38)</f>
        <v>0.85294117647058831</v>
      </c>
      <c r="E126" s="12">
        <v>0.04</v>
      </c>
      <c r="F126" s="12">
        <v>0.03</v>
      </c>
      <c r="G126" s="12">
        <v>0.23719879518072287</v>
      </c>
      <c r="H126" s="11">
        <v>29</v>
      </c>
      <c r="I126" s="11">
        <v>34</v>
      </c>
      <c r="J126" s="11"/>
      <c r="K126" s="11"/>
      <c r="L126" s="11"/>
      <c r="M126" s="11"/>
      <c r="N126" s="11">
        <v>1</v>
      </c>
      <c r="O126" s="11"/>
      <c r="P126" s="12">
        <f>EVE[[#This Row],[xPoints Av.]]*EVE[[#This Row],[Regularity]]</f>
        <v>2.7966194188518783</v>
      </c>
      <c r="Q126" s="11" t="s">
        <v>21</v>
      </c>
    </row>
    <row r="127" spans="1:17" ht="30" customHeight="1" x14ac:dyDescent="0.45">
      <c r="A127" s="13" t="s">
        <v>224</v>
      </c>
      <c r="B127" s="11" t="s">
        <v>84</v>
      </c>
      <c r="C12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4.08</v>
      </c>
      <c r="D127" s="12">
        <f>(EVE[[#This Row],[60+Mins Last Season]]/EVE[[#This Row],[Possible 60+Mins Last Season]] * (38-MAX(GameRecord[GW]))/38) + (EVE[[#This Row],[60+Mins This Season]]/EVE[[#This Row],[Possible 60+Mins This Season]] * (MAX(GameRecord[GW]))/38)</f>
        <v>0.68181818181818177</v>
      </c>
      <c r="E127" s="12">
        <v>0.43</v>
      </c>
      <c r="F127" s="12">
        <v>0.12</v>
      </c>
      <c r="G127" s="12">
        <v>0.21077283372365341</v>
      </c>
      <c r="H127" s="11">
        <v>15</v>
      </c>
      <c r="I127" s="11">
        <v>22</v>
      </c>
      <c r="J127" s="11"/>
      <c r="K127" s="11"/>
      <c r="L127" s="11"/>
      <c r="M127" s="11"/>
      <c r="N127" s="11">
        <v>1</v>
      </c>
      <c r="O127" s="11"/>
      <c r="P127" s="12">
        <f>EVE[[#This Row],[xPoints Av.]]*EVE[[#This Row],[Regularity]]</f>
        <v>2.7818181818181817</v>
      </c>
      <c r="Q127" s="11" t="s">
        <v>21</v>
      </c>
    </row>
    <row r="128" spans="1:17" ht="30" customHeight="1" x14ac:dyDescent="0.45">
      <c r="A128" s="11" t="s">
        <v>210</v>
      </c>
      <c r="B128" s="11" t="s">
        <v>64</v>
      </c>
      <c r="C12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3.3918882121103548</v>
      </c>
      <c r="D128" s="12">
        <f>(EVE[[#This Row],[60+Mins Last Season]]/EVE[[#This Row],[Possible 60+Mins Last Season]] * (38-MAX(GameRecord[GW]))/38) + (EVE[[#This Row],[60+Mins This Season]]/EVE[[#This Row],[Possible 60+Mins This Season]] * (MAX(GameRecord[GW]))/38)</f>
        <v>0.81578947368421051</v>
      </c>
      <c r="E128" s="12">
        <v>0.04</v>
      </c>
      <c r="F128" s="12">
        <v>0.04</v>
      </c>
      <c r="G128" s="12">
        <v>0.25797205302758869</v>
      </c>
      <c r="H128" s="11">
        <v>31</v>
      </c>
      <c r="I128" s="11">
        <v>38</v>
      </c>
      <c r="J128" s="11"/>
      <c r="K128" s="11"/>
      <c r="L128" s="11"/>
      <c r="M128" s="11"/>
      <c r="N128" s="11">
        <v>1</v>
      </c>
      <c r="O128" s="11"/>
      <c r="P128" s="12">
        <f>EVE[[#This Row],[xPoints Av.]]*EVE[[#This Row],[Regularity]]</f>
        <v>2.7670666993531841</v>
      </c>
      <c r="Q128" s="11" t="s">
        <v>21</v>
      </c>
    </row>
    <row r="129" spans="1:17" ht="30" customHeight="1" x14ac:dyDescent="0.45">
      <c r="A129" s="11" t="s">
        <v>209</v>
      </c>
      <c r="B129" s="11" t="s">
        <v>62</v>
      </c>
      <c r="C12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</v>
      </c>
      <c r="D129" s="12">
        <f>(EVE[[#This Row],[60+Mins Last Season]]/EVE[[#This Row],[Possible 60+Mins Last Season]] * (38-MAX(GameRecord[GW]))/38) + (EVE[[#This Row],[60+Mins This Season]]/EVE[[#This Row],[Possible 60+Mins This Season]] * (MAX(GameRecord[GW]))/38)</f>
        <v>0.97222222222222221</v>
      </c>
      <c r="E129" s="12">
        <v>0</v>
      </c>
      <c r="F129" s="12">
        <v>0</v>
      </c>
      <c r="G129" s="12">
        <v>0.2</v>
      </c>
      <c r="H129" s="11">
        <v>35</v>
      </c>
      <c r="I129" s="11">
        <v>36</v>
      </c>
      <c r="J129" s="11"/>
      <c r="K129" s="11"/>
      <c r="L129" s="11"/>
      <c r="M129" s="11"/>
      <c r="N129" s="11">
        <v>1</v>
      </c>
      <c r="O129" s="11"/>
      <c r="P129" s="12">
        <f>EVE[[#This Row],[xPoints Av.]]*EVE[[#This Row],[Regularity]]</f>
        <v>2.7222222222222219</v>
      </c>
      <c r="Q129" s="11" t="s">
        <v>21</v>
      </c>
    </row>
    <row r="130" spans="1:17" ht="30" customHeight="1" x14ac:dyDescent="0.45">
      <c r="A130" s="11" t="s">
        <v>218</v>
      </c>
      <c r="B130" s="11" t="s">
        <v>75</v>
      </c>
      <c r="C13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2.8974447949526816</v>
      </c>
      <c r="D130" s="12">
        <f>(EVE[[#This Row],[60+Mins Last Season]]/EVE[[#This Row],[Possible 60+Mins Last Season]] * (38-MAX(GameRecord[GW]))/38) + (EVE[[#This Row],[60+Mins This Season]]/EVE[[#This Row],[Possible 60+Mins This Season]] * (MAX(GameRecord[GW]))/38)</f>
        <v>0.875</v>
      </c>
      <c r="E130" s="12">
        <v>0.09</v>
      </c>
      <c r="F130" s="12">
        <v>0.09</v>
      </c>
      <c r="G130" s="12">
        <v>0.1774447949526814</v>
      </c>
      <c r="H130" s="11">
        <v>28</v>
      </c>
      <c r="I130" s="11">
        <v>32</v>
      </c>
      <c r="J130" s="11"/>
      <c r="K130" s="11"/>
      <c r="L130" s="11"/>
      <c r="M130" s="11"/>
      <c r="N130" s="11">
        <v>1</v>
      </c>
      <c r="O130" s="11"/>
      <c r="P130" s="12">
        <f>EVE[[#This Row],[xPoints Av.]]*EVE[[#This Row],[Regularity]]</f>
        <v>2.5352641955835962</v>
      </c>
      <c r="Q130" s="11" t="s">
        <v>21</v>
      </c>
    </row>
    <row r="131" spans="1:17" ht="30" customHeight="1" x14ac:dyDescent="0.45">
      <c r="A131" s="11" t="s">
        <v>216</v>
      </c>
      <c r="B131" s="11" t="s">
        <v>75</v>
      </c>
      <c r="C13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3.541164383561644</v>
      </c>
      <c r="D131" s="12">
        <f>(EVE[[#This Row],[60+Mins Last Season]]/EVE[[#This Row],[Possible 60+Mins Last Season]] * (38-MAX(GameRecord[GW]))/38) + (EVE[[#This Row],[60+Mins This Season]]/EVE[[#This Row],[Possible 60+Mins This Season]] * (MAX(GameRecord[GW]))/38)</f>
        <v>0.68421052631578949</v>
      </c>
      <c r="E131" s="12">
        <v>0.16</v>
      </c>
      <c r="F131" s="12">
        <v>0.17</v>
      </c>
      <c r="G131" s="12">
        <v>0.23116438356164384</v>
      </c>
      <c r="H131" s="11">
        <v>26</v>
      </c>
      <c r="I131" s="11">
        <v>38</v>
      </c>
      <c r="J131" s="11"/>
      <c r="K131" s="11"/>
      <c r="L131" s="11"/>
      <c r="M131" s="11"/>
      <c r="N131" s="11">
        <v>1</v>
      </c>
      <c r="O131" s="11"/>
      <c r="P131" s="12">
        <f>EVE[[#This Row],[xPoints Av.]]*EVE[[#This Row],[Regularity]]</f>
        <v>2.4229019466474409</v>
      </c>
      <c r="Q131" s="11" t="s">
        <v>21</v>
      </c>
    </row>
    <row r="132" spans="1:17" ht="30" customHeight="1" x14ac:dyDescent="0.45">
      <c r="A132" s="11" t="s">
        <v>217</v>
      </c>
      <c r="B132" s="11" t="s">
        <v>75</v>
      </c>
      <c r="C132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3.4266798418972333</v>
      </c>
      <c r="D132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2" s="12">
        <v>0.14000000000000001</v>
      </c>
      <c r="F132" s="12">
        <v>0.15</v>
      </c>
      <c r="G132" s="12">
        <v>0.27667984189723321</v>
      </c>
      <c r="H132" s="11">
        <v>23</v>
      </c>
      <c r="I132" s="11">
        <v>38</v>
      </c>
      <c r="J132" s="11"/>
      <c r="K132" s="11"/>
      <c r="L132" s="11"/>
      <c r="M132" s="11"/>
      <c r="N132" s="11">
        <v>1</v>
      </c>
      <c r="O132" s="11"/>
      <c r="P132" s="12">
        <f>EVE[[#This Row],[xPoints Av.]]*EVE[[#This Row],[Regularity]]</f>
        <v>2.0740430622009569</v>
      </c>
      <c r="Q132" s="11" t="s">
        <v>21</v>
      </c>
    </row>
    <row r="133" spans="1:17" ht="30" customHeight="1" x14ac:dyDescent="0.45">
      <c r="A133" s="11" t="s">
        <v>220</v>
      </c>
      <c r="B133" s="11" t="s">
        <v>75</v>
      </c>
      <c r="C133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3.3359504132231406</v>
      </c>
      <c r="D133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3" s="12">
        <v>0.14000000000000001</v>
      </c>
      <c r="F133" s="12">
        <v>0.15</v>
      </c>
      <c r="G133" s="12">
        <v>0.18595041322314051</v>
      </c>
      <c r="H133" s="11">
        <v>16</v>
      </c>
      <c r="I133" s="11">
        <v>26</v>
      </c>
      <c r="J133" s="11"/>
      <c r="K133" s="11"/>
      <c r="L133" s="11"/>
      <c r="M133" s="11"/>
      <c r="N133" s="11">
        <v>1</v>
      </c>
      <c r="O133" s="11"/>
      <c r="P133" s="12">
        <f>EVE[[#This Row],[xPoints Av.]]*EVE[[#This Row],[Regularity]]</f>
        <v>2.0528925619834713</v>
      </c>
      <c r="Q133" s="11" t="s">
        <v>21</v>
      </c>
    </row>
    <row r="134" spans="1:17" ht="30" customHeight="1" x14ac:dyDescent="0.45">
      <c r="A134" s="11" t="s">
        <v>212</v>
      </c>
      <c r="B134" s="11" t="s">
        <v>64</v>
      </c>
      <c r="C134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3.2638818565400847</v>
      </c>
      <c r="D134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4" s="12">
        <v>7.0000000000000007E-2</v>
      </c>
      <c r="F134" s="12">
        <v>0</v>
      </c>
      <c r="G134" s="12">
        <v>0.2109704641350211</v>
      </c>
      <c r="H134" s="11">
        <v>23</v>
      </c>
      <c r="I134" s="11">
        <v>38</v>
      </c>
      <c r="J134" s="11"/>
      <c r="K134" s="11"/>
      <c r="L134" s="11"/>
      <c r="M134" s="11"/>
      <c r="N134" s="11">
        <v>1</v>
      </c>
      <c r="O134" s="11"/>
      <c r="P134" s="12">
        <f>EVE[[#This Row],[xPoints Av.]]*EVE[[#This Row],[Regularity]]</f>
        <v>1.975507439484788</v>
      </c>
      <c r="Q134" s="11" t="s">
        <v>21</v>
      </c>
    </row>
    <row r="135" spans="1:17" ht="30" customHeight="1" x14ac:dyDescent="0.45">
      <c r="A135" s="11" t="s">
        <v>219</v>
      </c>
      <c r="B135" s="11" t="s">
        <v>75</v>
      </c>
      <c r="C13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3.2361409561360275</v>
      </c>
      <c r="D135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5" s="12">
        <v>0.11</v>
      </c>
      <c r="F135" s="12">
        <v>0.14000000000000001</v>
      </c>
      <c r="G135" s="12">
        <v>0.26614095613602762</v>
      </c>
      <c r="H135" s="11">
        <v>23</v>
      </c>
      <c r="I135" s="11">
        <v>38</v>
      </c>
      <c r="J135" s="11"/>
      <c r="K135" s="11"/>
      <c r="L135" s="11"/>
      <c r="M135" s="11"/>
      <c r="N135" s="11">
        <v>1</v>
      </c>
      <c r="O135" s="11"/>
      <c r="P135" s="12">
        <f>EVE[[#This Row],[xPoints Av.]]*EVE[[#This Row],[Regularity]]</f>
        <v>1.958716894503385</v>
      </c>
      <c r="Q135" s="11" t="s">
        <v>21</v>
      </c>
    </row>
    <row r="136" spans="1:17" ht="30" customHeight="1" x14ac:dyDescent="0.45">
      <c r="A136" s="11" t="s">
        <v>214</v>
      </c>
      <c r="B136" s="11" t="s">
        <v>64</v>
      </c>
      <c r="C13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3.1297092163627402</v>
      </c>
      <c r="D136" s="12">
        <f>(EVE[[#This Row],[60+Mins Last Season]]/EVE[[#This Row],[Possible 60+Mins Last Season]] * (38-MAX(GameRecord[GW]))/38) + (EVE[[#This Row],[60+Mins This Season]]/EVE[[#This Row],[Possible 60+Mins This Season]] * (MAX(GameRecord[GW]))/38)</f>
        <v>0.61111111111111116</v>
      </c>
      <c r="E136" s="12">
        <v>0.05</v>
      </c>
      <c r="F136" s="12">
        <v>0.04</v>
      </c>
      <c r="G136" s="12">
        <v>0.17742730409068508</v>
      </c>
      <c r="H136" s="11">
        <v>11</v>
      </c>
      <c r="I136" s="11">
        <v>18</v>
      </c>
      <c r="J136" s="11"/>
      <c r="K136" s="11"/>
      <c r="L136" s="11"/>
      <c r="M136" s="11"/>
      <c r="N136" s="11">
        <v>1</v>
      </c>
      <c r="O136" s="11"/>
      <c r="P136" s="12">
        <f>EVE[[#This Row],[xPoints Av.]]*EVE[[#This Row],[Regularity]]</f>
        <v>1.9126000766661191</v>
      </c>
      <c r="Q136" s="11" t="s">
        <v>21</v>
      </c>
    </row>
    <row r="137" spans="1:17" ht="30" customHeight="1" x14ac:dyDescent="0.45">
      <c r="A137" s="11" t="s">
        <v>215</v>
      </c>
      <c r="B137" s="11" t="s">
        <v>64</v>
      </c>
      <c r="C13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3.0330805687203792</v>
      </c>
      <c r="D137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7" s="12">
        <v>0.03</v>
      </c>
      <c r="F137" s="12">
        <v>0</v>
      </c>
      <c r="G137" s="12">
        <v>0.21327014218009477</v>
      </c>
      <c r="H137" s="11">
        <v>8</v>
      </c>
      <c r="I137" s="11">
        <v>13</v>
      </c>
      <c r="J137" s="11"/>
      <c r="K137" s="11"/>
      <c r="L137" s="11"/>
      <c r="M137" s="11"/>
      <c r="N137" s="11">
        <v>1</v>
      </c>
      <c r="O137" s="11"/>
      <c r="P137" s="12">
        <f>EVE[[#This Row],[xPoints Av.]]*EVE[[#This Row],[Regularity]]</f>
        <v>1.8665111192125412</v>
      </c>
      <c r="Q137" s="11" t="s">
        <v>21</v>
      </c>
    </row>
    <row r="138" spans="1:17" ht="30" customHeight="1" x14ac:dyDescent="0.45">
      <c r="A138" s="11" t="s">
        <v>213</v>
      </c>
      <c r="B138" s="11" t="s">
        <v>64</v>
      </c>
      <c r="C13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3.1597092163627405</v>
      </c>
      <c r="D138" s="12">
        <f>(EVE[[#This Row],[60+Mins Last Season]]/EVE[[#This Row],[Possible 60+Mins Last Season]] * (38-MAX(GameRecord[GW]))/38) + (EVE[[#This Row],[60+Mins This Season]]/EVE[[#This Row],[Possible 60+Mins This Season]] * (MAX(GameRecord[GW]))/38)</f>
        <v>0.57894736842105265</v>
      </c>
      <c r="E138" s="12">
        <v>0.06</v>
      </c>
      <c r="F138" s="12">
        <v>0.03</v>
      </c>
      <c r="G138" s="12">
        <v>0.17742730409068508</v>
      </c>
      <c r="H138" s="11">
        <v>22</v>
      </c>
      <c r="I138" s="11">
        <v>38</v>
      </c>
      <c r="J138" s="11"/>
      <c r="K138" s="11"/>
      <c r="L138" s="11"/>
      <c r="M138" s="11"/>
      <c r="N138" s="11">
        <v>1</v>
      </c>
      <c r="O138" s="11"/>
      <c r="P138" s="12">
        <f>EVE[[#This Row],[xPoints Av.]]*EVE[[#This Row],[Regularity]]</f>
        <v>1.829305335788955</v>
      </c>
      <c r="Q138" s="11" t="s">
        <v>21</v>
      </c>
    </row>
    <row r="139" spans="1:17" ht="30" customHeight="1" x14ac:dyDescent="0.45">
      <c r="A139" s="11" t="s">
        <v>221</v>
      </c>
      <c r="B139" s="11" t="s">
        <v>75</v>
      </c>
      <c r="C13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2.3875928473177441</v>
      </c>
      <c r="D139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9" s="12">
        <v>0.01</v>
      </c>
      <c r="F139" s="12">
        <v>0.03</v>
      </c>
      <c r="G139" s="12">
        <v>0.24759284731774414</v>
      </c>
      <c r="H139" s="11">
        <v>23</v>
      </c>
      <c r="I139" s="11">
        <v>38</v>
      </c>
      <c r="J139" s="11"/>
      <c r="K139" s="11"/>
      <c r="L139" s="11"/>
      <c r="M139" s="11"/>
      <c r="N139" s="11">
        <v>1</v>
      </c>
      <c r="O139" s="11"/>
      <c r="P139" s="12">
        <f>EVE[[#This Row],[xPoints Av.]]*EVE[[#This Row],[Regularity]]</f>
        <v>1.445121986534424</v>
      </c>
      <c r="Q139" s="11" t="s">
        <v>21</v>
      </c>
    </row>
    <row r="140" spans="1:17" ht="30" customHeight="1" x14ac:dyDescent="0.45">
      <c r="A140" s="11" t="s">
        <v>225</v>
      </c>
      <c r="B140" s="11" t="s">
        <v>84</v>
      </c>
      <c r="C14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3.45</v>
      </c>
      <c r="D140" s="12">
        <f>(EVE[[#This Row],[60+Mins Last Season]]/EVE[[#This Row],[Possible 60+Mins Last Season]] * (38-MAX(GameRecord[GW]))/38) + (EVE[[#This Row],[60+Mins This Season]]/EVE[[#This Row],[Possible 60+Mins This Season]] * (MAX(GameRecord[GW]))/38)</f>
        <v>0.23529411764705882</v>
      </c>
      <c r="E140" s="12">
        <v>0.31</v>
      </c>
      <c r="F140" s="12">
        <v>7.0000000000000007E-2</v>
      </c>
      <c r="G140" s="12">
        <v>0.21077283372365341</v>
      </c>
      <c r="H140" s="18">
        <v>8</v>
      </c>
      <c r="I140" s="18">
        <v>34</v>
      </c>
      <c r="J140" s="11"/>
      <c r="K140" s="11"/>
      <c r="L140" s="11"/>
      <c r="M140" s="11"/>
      <c r="N140" s="11">
        <v>1</v>
      </c>
      <c r="O140" s="11"/>
      <c r="P140" s="12">
        <f>EVE[[#This Row],[xPoints Av.]]*EVE[[#This Row],[Regularity]]</f>
        <v>0.81176470588235294</v>
      </c>
      <c r="Q140" s="11" t="s">
        <v>21</v>
      </c>
    </row>
    <row r="141" spans="1:17" ht="30" customHeight="1" x14ac:dyDescent="0.45">
      <c r="A141" s="11" t="s">
        <v>222</v>
      </c>
      <c r="B141" s="11" t="s">
        <v>75</v>
      </c>
      <c r="C14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3.0141116751269035</v>
      </c>
      <c r="D141" s="12">
        <f>(EVE[[#This Row],[60+Mins Last Season]]/EVE[[#This Row],[Possible 60+Mins Last Season]] * (38-MAX(GameRecord[GW]))/38) + (EVE[[#This Row],[60+Mins This Season]]/EVE[[#This Row],[Possible 60+Mins This Season]] * (MAX(GameRecord[GW]))/38)</f>
        <v>0.13333333333333333</v>
      </c>
      <c r="E141" s="12">
        <v>0.04</v>
      </c>
      <c r="F141" s="12">
        <v>0.18</v>
      </c>
      <c r="G141" s="12">
        <v>0.27411167512690354</v>
      </c>
      <c r="H141" s="11">
        <v>2</v>
      </c>
      <c r="I141" s="11">
        <v>15</v>
      </c>
      <c r="J141" s="11"/>
      <c r="K141" s="11"/>
      <c r="L141" s="11"/>
      <c r="M141" s="11"/>
      <c r="N141" s="11">
        <v>1</v>
      </c>
      <c r="O141" s="11"/>
      <c r="P141" s="12">
        <f>EVE[[#This Row],[xPoints Av.]]*EVE[[#This Row],[Regularity]]</f>
        <v>0.4018815566835871</v>
      </c>
      <c r="Q141" s="11" t="s">
        <v>21</v>
      </c>
    </row>
    <row r="143" spans="1:17" ht="30" customHeight="1" x14ac:dyDescent="0.35">
      <c r="A143" s="24" t="s">
        <v>226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30" customHeight="1" x14ac:dyDescent="0.35">
      <c r="A144" s="2" t="s">
        <v>52</v>
      </c>
      <c r="B144" s="2" t="s">
        <v>86</v>
      </c>
      <c r="C144" s="2" t="s">
        <v>59</v>
      </c>
      <c r="D144" s="2" t="s">
        <v>54</v>
      </c>
      <c r="E144" s="2" t="s">
        <v>55</v>
      </c>
      <c r="F144" s="2" t="s">
        <v>56</v>
      </c>
      <c r="G144" s="2" t="s">
        <v>65</v>
      </c>
      <c r="H144" s="2" t="s">
        <v>88</v>
      </c>
      <c r="I144" s="2" t="s">
        <v>89</v>
      </c>
      <c r="J144" s="2" t="s">
        <v>57</v>
      </c>
      <c r="K144" s="2" t="s">
        <v>58</v>
      </c>
      <c r="L144" s="2" t="s">
        <v>66</v>
      </c>
      <c r="M144" s="2" t="s">
        <v>87</v>
      </c>
      <c r="N144" s="2" t="s">
        <v>90</v>
      </c>
      <c r="O144" s="2" t="s">
        <v>67</v>
      </c>
      <c r="P144" s="2" t="s">
        <v>53</v>
      </c>
      <c r="Q144" s="2" t="s">
        <v>0</v>
      </c>
    </row>
    <row r="145" spans="1:17" ht="30" customHeight="1" x14ac:dyDescent="0.45">
      <c r="A145" s="11" t="s">
        <v>245</v>
      </c>
      <c r="B145" s="11" t="s">
        <v>84</v>
      </c>
      <c r="C14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4.43</v>
      </c>
      <c r="D145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45" s="12">
        <v>0.48</v>
      </c>
      <c r="F145" s="12">
        <v>0.17</v>
      </c>
      <c r="G145" s="12">
        <v>0</v>
      </c>
      <c r="H145" s="18">
        <v>5</v>
      </c>
      <c r="I145" s="18">
        <v>5</v>
      </c>
      <c r="J145" s="11"/>
      <c r="K145" s="11"/>
      <c r="L145" s="11"/>
      <c r="M145" s="11"/>
      <c r="N145" s="11">
        <v>1</v>
      </c>
      <c r="O145" s="11"/>
      <c r="P145" s="12">
        <f>LEE[[#This Row],[xPoints Av.]]*LEE[[#This Row],[Regularity]]</f>
        <v>4.43</v>
      </c>
      <c r="Q145" s="11" t="s">
        <v>22</v>
      </c>
    </row>
    <row r="146" spans="1:17" ht="30" customHeight="1" x14ac:dyDescent="0.45">
      <c r="A146" s="11" t="s">
        <v>237</v>
      </c>
      <c r="B146" s="11" t="s">
        <v>75</v>
      </c>
      <c r="C14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4.3343209876543209</v>
      </c>
      <c r="D146" s="12">
        <f>(LEE[[#This Row],[60+Mins Last Season]]/LEE[[#This Row],[Possible 60+Mins Last Season]] * (38-MAX(GameRecord[GW]))/38) + (LEE[[#This Row],[60+Mins This Season]]/LEE[[#This Row],[Possible 60+Mins This Season]] * (MAX(GameRecord[GW]))/38)</f>
        <v>0.83783783783783783</v>
      </c>
      <c r="E146" s="12">
        <v>0.31</v>
      </c>
      <c r="F146" s="12">
        <v>0.21</v>
      </c>
      <c r="G146" s="12">
        <v>0.15432098765432101</v>
      </c>
      <c r="H146" s="11">
        <v>31</v>
      </c>
      <c r="I146" s="11">
        <v>37</v>
      </c>
      <c r="J146" s="11"/>
      <c r="K146" s="11"/>
      <c r="L146" s="11"/>
      <c r="M146" s="11"/>
      <c r="N146" s="11">
        <v>1</v>
      </c>
      <c r="O146" s="11"/>
      <c r="P146" s="12">
        <f>LEE[[#This Row],[xPoints Av.]]*LEE[[#This Row],[Regularity]]</f>
        <v>3.6314581247914579</v>
      </c>
      <c r="Q146" s="11" t="s">
        <v>22</v>
      </c>
    </row>
    <row r="147" spans="1:17" ht="30" customHeight="1" x14ac:dyDescent="0.45">
      <c r="A147" s="11" t="s">
        <v>232</v>
      </c>
      <c r="B147" s="11" t="s">
        <v>64</v>
      </c>
      <c r="C14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3.0822822491730983</v>
      </c>
      <c r="D147" s="12">
        <f>(LEE[[#This Row],[60+Mins Last Season]]/LEE[[#This Row],[Possible 60+Mins Last Season]] * (38-MAX(GameRecord[GW]))/38) + (LEE[[#This Row],[60+Mins This Season]]/LEE[[#This Row],[Possible 60+Mins This Season]] * (MAX(GameRecord[GW]))/38)</f>
        <v>0.90909090909090917</v>
      </c>
      <c r="E147" s="12">
        <v>0.01</v>
      </c>
      <c r="F147" s="12">
        <v>0.01</v>
      </c>
      <c r="G147" s="12">
        <v>0.24807056229327454</v>
      </c>
      <c r="H147" s="11">
        <v>20</v>
      </c>
      <c r="I147" s="11">
        <v>22</v>
      </c>
      <c r="J147" s="11"/>
      <c r="K147" s="11"/>
      <c r="L147" s="11"/>
      <c r="M147" s="11"/>
      <c r="N147" s="11">
        <v>1</v>
      </c>
      <c r="O147" s="11"/>
      <c r="P147" s="12">
        <f>LEE[[#This Row],[xPoints Av.]]*LEE[[#This Row],[Regularity]]</f>
        <v>2.8020747719755441</v>
      </c>
      <c r="Q147" s="11" t="s">
        <v>22</v>
      </c>
    </row>
    <row r="148" spans="1:17" ht="30" customHeight="1" x14ac:dyDescent="0.45">
      <c r="A148" s="11" t="s">
        <v>233</v>
      </c>
      <c r="B148" s="11" t="s">
        <v>64</v>
      </c>
      <c r="C14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2.8269014084507043</v>
      </c>
      <c r="D148" s="12">
        <f>(LEE[[#This Row],[60+Mins Last Season]]/LEE[[#This Row],[Possible 60+Mins Last Season]] * (38-MAX(GameRecord[GW]))/38) + (LEE[[#This Row],[60+Mins This Season]]/LEE[[#This Row],[Possible 60+Mins This Season]] * (MAX(GameRecord[GW]))/38)</f>
        <v>0.92592592592592593</v>
      </c>
      <c r="E148" s="12">
        <v>0.04</v>
      </c>
      <c r="F148" s="12">
        <v>0.09</v>
      </c>
      <c r="G148" s="12">
        <v>7.9225352112676062E-2</v>
      </c>
      <c r="H148" s="11">
        <v>25</v>
      </c>
      <c r="I148" s="11">
        <v>27</v>
      </c>
      <c r="J148" s="11"/>
      <c r="K148" s="11"/>
      <c r="L148" s="11"/>
      <c r="M148" s="11"/>
      <c r="N148" s="11">
        <v>1</v>
      </c>
      <c r="O148" s="11"/>
      <c r="P148" s="12">
        <f>LEE[[#This Row],[xPoints Av.]]*LEE[[#This Row],[Regularity]]</f>
        <v>2.6175013041210224</v>
      </c>
      <c r="Q148" s="11" t="s">
        <v>22</v>
      </c>
    </row>
    <row r="149" spans="1:17" ht="30" customHeight="1" x14ac:dyDescent="0.45">
      <c r="A149" s="11" t="s">
        <v>239</v>
      </c>
      <c r="B149" s="11" t="s">
        <v>75</v>
      </c>
      <c r="C14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2.754109589041096</v>
      </c>
      <c r="D149" s="12">
        <f>(LEE[[#This Row],[60+Mins Last Season]]/LEE[[#This Row],[Possible 60+Mins Last Season]] * (38-MAX(GameRecord[GW]))/38) + (LEE[[#This Row],[60+Mins This Season]]/LEE[[#This Row],[Possible 60+Mins This Season]] * (MAX(GameRecord[GW]))/38)</f>
        <v>0.94117647058823528</v>
      </c>
      <c r="E149" s="12">
        <v>0.06</v>
      </c>
      <c r="F149" s="12">
        <v>0.1</v>
      </c>
      <c r="G149" s="12">
        <v>0.1541095890410959</v>
      </c>
      <c r="H149" s="11">
        <v>32</v>
      </c>
      <c r="I149" s="11">
        <v>34</v>
      </c>
      <c r="J149" s="11"/>
      <c r="K149" s="11"/>
      <c r="L149" s="11"/>
      <c r="M149" s="11"/>
      <c r="N149" s="11">
        <v>1</v>
      </c>
      <c r="O149" s="11"/>
      <c r="P149" s="12">
        <f>LEE[[#This Row],[xPoints Av.]]*LEE[[#This Row],[Regularity]]</f>
        <v>2.5921031426269141</v>
      </c>
      <c r="Q149" s="11" t="s">
        <v>22</v>
      </c>
    </row>
    <row r="150" spans="1:17" ht="30" customHeight="1" x14ac:dyDescent="0.45">
      <c r="A150" s="11" t="s">
        <v>227</v>
      </c>
      <c r="B150" s="11" t="s">
        <v>62</v>
      </c>
      <c r="C15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2.5319148936170213</v>
      </c>
      <c r="D150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50" s="12">
        <v>0</v>
      </c>
      <c r="F150" s="12">
        <v>0</v>
      </c>
      <c r="G150" s="12">
        <v>0.13297872340425532</v>
      </c>
      <c r="H150" s="11">
        <v>37</v>
      </c>
      <c r="I150" s="11">
        <v>37</v>
      </c>
      <c r="J150" s="11"/>
      <c r="K150" s="11"/>
      <c r="L150" s="11"/>
      <c r="M150" s="11"/>
      <c r="N150" s="11">
        <v>1</v>
      </c>
      <c r="O150" s="11"/>
      <c r="P150" s="12">
        <f>LEE[[#This Row],[xPoints Av.]]*LEE[[#This Row],[Regularity]]</f>
        <v>2.5319148936170213</v>
      </c>
      <c r="Q150" s="11" t="s">
        <v>22</v>
      </c>
    </row>
    <row r="151" spans="1:17" ht="30" customHeight="1" x14ac:dyDescent="0.45">
      <c r="A151" s="11" t="s">
        <v>148</v>
      </c>
      <c r="B151" s="11" t="s">
        <v>75</v>
      </c>
      <c r="C15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4.0007955002008835</v>
      </c>
      <c r="D151" s="12">
        <f>(LEE[[#This Row],[60+Mins Last Season]]/LEE[[#This Row],[Possible 60+Mins Last Season]] * (38-MAX(GameRecord[GW]))/38) + (LEE[[#This Row],[60+Mins This Season]]/LEE[[#This Row],[Possible 60+Mins This Season]] * (MAX(GameRecord[GW]))/38)</f>
        <v>0.62857142857142856</v>
      </c>
      <c r="E151" s="12">
        <v>0.28000000000000003</v>
      </c>
      <c r="F151" s="12">
        <v>0.14000000000000001</v>
      </c>
      <c r="G151" s="12">
        <v>0.18079550020088389</v>
      </c>
      <c r="H151" s="11">
        <v>22</v>
      </c>
      <c r="I151" s="11">
        <v>35</v>
      </c>
      <c r="J151" s="11"/>
      <c r="K151" s="11"/>
      <c r="L151" s="11"/>
      <c r="M151" s="11"/>
      <c r="N151" s="11">
        <v>1</v>
      </c>
      <c r="O151" s="11"/>
      <c r="P151" s="12">
        <f>LEE[[#This Row],[xPoints Av.]]*LEE[[#This Row],[Regularity]]</f>
        <v>2.5147857429834124</v>
      </c>
      <c r="Q151" s="11" t="s">
        <v>22</v>
      </c>
    </row>
    <row r="152" spans="1:17" ht="30" customHeight="1" x14ac:dyDescent="0.45">
      <c r="A152" s="11" t="s">
        <v>238</v>
      </c>
      <c r="B152" s="11" t="s">
        <v>75</v>
      </c>
      <c r="C152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3.3123502653525398</v>
      </c>
      <c r="D152" s="12">
        <f>(LEE[[#This Row],[60+Mins Last Season]]/LEE[[#This Row],[Possible 60+Mins Last Season]] * (38-MAX(GameRecord[GW]))/38) + (LEE[[#This Row],[60+Mins This Season]]/LEE[[#This Row],[Possible 60+Mins This Season]] * (MAX(GameRecord[GW]))/38)</f>
        <v>0.71052631578947367</v>
      </c>
      <c r="E152" s="12">
        <v>0.17</v>
      </c>
      <c r="F152" s="12">
        <v>0.12</v>
      </c>
      <c r="G152" s="12">
        <v>0.10235026535253981</v>
      </c>
      <c r="H152" s="11">
        <v>27</v>
      </c>
      <c r="I152" s="11">
        <v>38</v>
      </c>
      <c r="J152" s="11"/>
      <c r="K152" s="11"/>
      <c r="L152" s="11"/>
      <c r="M152" s="11"/>
      <c r="N152" s="11">
        <v>1</v>
      </c>
      <c r="O152" s="11"/>
      <c r="P152" s="12">
        <f>LEE[[#This Row],[xPoints Av.]]*LEE[[#This Row],[Regularity]]</f>
        <v>2.3535120306452257</v>
      </c>
      <c r="Q152" s="11" t="s">
        <v>22</v>
      </c>
    </row>
    <row r="153" spans="1:17" ht="30" customHeight="1" x14ac:dyDescent="0.45">
      <c r="A153" s="11" t="s">
        <v>235</v>
      </c>
      <c r="B153" s="11" t="s">
        <v>64</v>
      </c>
      <c r="C153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2.6490076335877863</v>
      </c>
      <c r="D153" s="12">
        <f>(LEE[[#This Row],[60+Mins Last Season]]/LEE[[#This Row],[Possible 60+Mins Last Season]] * (38-MAX(GameRecord[GW]))/38) + (LEE[[#This Row],[60+Mins This Season]]/LEE[[#This Row],[Possible 60+Mins This Season]] * (MAX(GameRecord[GW]))/38)</f>
        <v>0.84210526315789469</v>
      </c>
      <c r="E153" s="12">
        <v>0.06</v>
      </c>
      <c r="F153" s="12">
        <v>0.02</v>
      </c>
      <c r="G153" s="12">
        <v>5.725190839694657E-2</v>
      </c>
      <c r="H153" s="11">
        <v>16</v>
      </c>
      <c r="I153" s="11">
        <v>19</v>
      </c>
      <c r="J153" s="11"/>
      <c r="K153" s="11"/>
      <c r="L153" s="11"/>
      <c r="M153" s="11"/>
      <c r="N153" s="11">
        <v>1</v>
      </c>
      <c r="O153" s="11"/>
      <c r="P153" s="12">
        <f>LEE[[#This Row],[xPoints Av.]]*LEE[[#This Row],[Regularity]]</f>
        <v>2.2307432703897145</v>
      </c>
      <c r="Q153" s="11" t="s">
        <v>22</v>
      </c>
    </row>
    <row r="154" spans="1:17" ht="30" customHeight="1" x14ac:dyDescent="0.45">
      <c r="A154" s="11" t="s">
        <v>243</v>
      </c>
      <c r="B154" s="11" t="s">
        <v>84</v>
      </c>
      <c r="C154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</v>
      </c>
      <c r="D154" s="12">
        <f>(LEE[[#This Row],[60+Mins Last Season]]/LEE[[#This Row],[Possible 60+Mins Last Season]] * (38-MAX(GameRecord[GW]))/38) + (LEE[[#This Row],[60+Mins This Season]]/LEE[[#This Row],[Possible 60+Mins This Season]] * (MAX(GameRecord[GW]))/38)</f>
        <v>0.66666666666666663</v>
      </c>
      <c r="E154" s="12">
        <v>0.22</v>
      </c>
      <c r="F154" s="12">
        <v>0.14000000000000001</v>
      </c>
      <c r="G154" s="12">
        <v>0.1988510826336721</v>
      </c>
      <c r="H154" s="11">
        <v>22</v>
      </c>
      <c r="I154" s="11">
        <v>33</v>
      </c>
      <c r="J154" s="11"/>
      <c r="K154" s="11"/>
      <c r="L154" s="11"/>
      <c r="M154" s="11"/>
      <c r="N154" s="11">
        <v>1</v>
      </c>
      <c r="O154" s="11"/>
      <c r="P154" s="12">
        <f>LEE[[#This Row],[xPoints Av.]]*LEE[[#This Row],[Regularity]]</f>
        <v>2.1999999999999997</v>
      </c>
      <c r="Q154" s="11" t="s">
        <v>22</v>
      </c>
    </row>
    <row r="155" spans="1:17" ht="30" customHeight="1" x14ac:dyDescent="0.45">
      <c r="A155" s="11" t="s">
        <v>231</v>
      </c>
      <c r="B155" s="11" t="s">
        <v>64</v>
      </c>
      <c r="C15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3.2489021785561727</v>
      </c>
      <c r="D155" s="12">
        <f>(LEE[[#This Row],[60+Mins Last Season]]/LEE[[#This Row],[Possible 60+Mins Last Season]] * (38-MAX(GameRecord[GW]))/38) + (LEE[[#This Row],[60+Mins This Season]]/LEE[[#This Row],[Possible 60+Mins This Season]] * (MAX(GameRecord[GW]))/38)</f>
        <v>0.65789473684210531</v>
      </c>
      <c r="E155" s="12">
        <v>0.08</v>
      </c>
      <c r="F155" s="12">
        <v>0</v>
      </c>
      <c r="G155" s="12">
        <v>0.19222554463904312</v>
      </c>
      <c r="H155" s="11">
        <v>25</v>
      </c>
      <c r="I155" s="11">
        <v>38</v>
      </c>
      <c r="J155" s="11"/>
      <c r="K155" s="11"/>
      <c r="L155" s="11"/>
      <c r="M155" s="11"/>
      <c r="N155" s="11">
        <v>1</v>
      </c>
      <c r="O155" s="11"/>
      <c r="P155" s="12">
        <f>LEE[[#This Row],[xPoints Av.]]*LEE[[#This Row],[Regularity]]</f>
        <v>2.1374356437869557</v>
      </c>
      <c r="Q155" s="11" t="s">
        <v>22</v>
      </c>
    </row>
    <row r="156" spans="1:17" ht="30" customHeight="1" x14ac:dyDescent="0.45">
      <c r="A156" s="11" t="s">
        <v>241</v>
      </c>
      <c r="B156" s="11" t="s">
        <v>75</v>
      </c>
      <c r="C15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2.5793851944792974</v>
      </c>
      <c r="D156" s="12">
        <f>(LEE[[#This Row],[60+Mins Last Season]]/LEE[[#This Row],[Possible 60+Mins Last Season]] * (38-MAX(GameRecord[GW]))/38) + (LEE[[#This Row],[60+Mins This Season]]/LEE[[#This Row],[Possible 60+Mins This Season]] * (MAX(GameRecord[GW]))/38)</f>
        <v>0.72727272727272729</v>
      </c>
      <c r="E156" s="12">
        <v>0.04</v>
      </c>
      <c r="F156" s="12">
        <v>7.0000000000000007E-2</v>
      </c>
      <c r="G156" s="12">
        <v>0.16938519447929737</v>
      </c>
      <c r="H156" s="11">
        <v>16</v>
      </c>
      <c r="I156" s="11">
        <v>22</v>
      </c>
      <c r="J156" s="11"/>
      <c r="K156" s="11"/>
      <c r="L156" s="11"/>
      <c r="M156" s="11"/>
      <c r="N156" s="11">
        <v>1</v>
      </c>
      <c r="O156" s="11"/>
      <c r="P156" s="12">
        <f>LEE[[#This Row],[xPoints Av.]]*LEE[[#This Row],[Regularity]]</f>
        <v>1.8759165050758526</v>
      </c>
      <c r="Q156" s="11" t="s">
        <v>22</v>
      </c>
    </row>
    <row r="157" spans="1:17" ht="30" customHeight="1" x14ac:dyDescent="0.45">
      <c r="A157" s="11" t="s">
        <v>234</v>
      </c>
      <c r="B157" s="11" t="s">
        <v>64</v>
      </c>
      <c r="C15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2.8356097560975613</v>
      </c>
      <c r="D157" s="12">
        <f>(LEE[[#This Row],[60+Mins Last Season]]/LEE[[#This Row],[Possible 60+Mins Last Season]] * (38-MAX(GameRecord[GW]))/38) + (LEE[[#This Row],[60+Mins This Season]]/LEE[[#This Row],[Possible 60+Mins This Season]] * (MAX(GameRecord[GW]))/38)</f>
        <v>0.65625</v>
      </c>
      <c r="E157" s="12">
        <v>0.1</v>
      </c>
      <c r="F157" s="12">
        <v>0.02</v>
      </c>
      <c r="G157" s="12">
        <v>4.3902439024390241E-2</v>
      </c>
      <c r="H157" s="11">
        <v>21</v>
      </c>
      <c r="I157" s="11">
        <v>32</v>
      </c>
      <c r="J157" s="11"/>
      <c r="K157" s="11"/>
      <c r="L157" s="11"/>
      <c r="M157" s="11"/>
      <c r="N157" s="11">
        <v>1</v>
      </c>
      <c r="O157" s="11"/>
      <c r="P157" s="12">
        <f>LEE[[#This Row],[xPoints Av.]]*LEE[[#This Row],[Regularity]]</f>
        <v>1.8608689024390246</v>
      </c>
      <c r="Q157" s="11" t="s">
        <v>22</v>
      </c>
    </row>
    <row r="158" spans="1:17" ht="30" customHeight="1" x14ac:dyDescent="0.45">
      <c r="A158" s="11" t="s">
        <v>236</v>
      </c>
      <c r="B158" s="11" t="s">
        <v>64</v>
      </c>
      <c r="C15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2.9006495026331187</v>
      </c>
      <c r="D158" s="12">
        <f>(LEE[[#This Row],[60+Mins Last Season]]/LEE[[#This Row],[Possible 60+Mins Last Season]] * (38-MAX(GameRecord[GW]))/38) + (LEE[[#This Row],[60+Mins This Season]]/LEE[[#This Row],[Possible 60+Mins This Season]] * (MAX(GameRecord[GW]))/38)</f>
        <v>0.53333333333333333</v>
      </c>
      <c r="E158" s="12">
        <v>0.05</v>
      </c>
      <c r="F158" s="12">
        <v>0.13</v>
      </c>
      <c r="G158" s="12">
        <v>5.2662375658279699E-2</v>
      </c>
      <c r="H158" s="11">
        <v>16</v>
      </c>
      <c r="I158" s="11">
        <v>30</v>
      </c>
      <c r="J158" s="11"/>
      <c r="K158" s="11"/>
      <c r="L158" s="11"/>
      <c r="M158" s="11"/>
      <c r="N158" s="11">
        <v>1</v>
      </c>
      <c r="O158" s="11"/>
      <c r="P158" s="12">
        <f>LEE[[#This Row],[xPoints Av.]]*LEE[[#This Row],[Regularity]]</f>
        <v>1.5470130680709966</v>
      </c>
      <c r="Q158" s="11" t="s">
        <v>22</v>
      </c>
    </row>
    <row r="159" spans="1:17" ht="30" customHeight="1" x14ac:dyDescent="0.45">
      <c r="A159" s="11" t="s">
        <v>240</v>
      </c>
      <c r="B159" s="11" t="s">
        <v>75</v>
      </c>
      <c r="C15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2.8334572670207629</v>
      </c>
      <c r="D159" s="12">
        <f>(LEE[[#This Row],[60+Mins Last Season]]/LEE[[#This Row],[Possible 60+Mins Last Season]] * (38-MAX(GameRecord[GW]))/38) + (LEE[[#This Row],[60+Mins This Season]]/LEE[[#This Row],[Possible 60+Mins This Season]] * (MAX(GameRecord[GW]))/38)</f>
        <v>0.45945945945945948</v>
      </c>
      <c r="E159" s="12">
        <v>0.11</v>
      </c>
      <c r="F159" s="12">
        <v>0.08</v>
      </c>
      <c r="G159" s="12">
        <v>4.3457267020762913E-2</v>
      </c>
      <c r="H159" s="11">
        <v>17</v>
      </c>
      <c r="I159" s="11">
        <v>37</v>
      </c>
      <c r="J159" s="11"/>
      <c r="K159" s="11"/>
      <c r="L159" s="11"/>
      <c r="M159" s="11"/>
      <c r="N159" s="11">
        <v>1</v>
      </c>
      <c r="O159" s="11"/>
      <c r="P159" s="12">
        <f>LEE[[#This Row],[xPoints Av.]]*LEE[[#This Row],[Regularity]]</f>
        <v>1.301858744306837</v>
      </c>
      <c r="Q159" s="11" t="s">
        <v>22</v>
      </c>
    </row>
    <row r="160" spans="1:17" ht="30" customHeight="1" x14ac:dyDescent="0.45">
      <c r="A160" s="11" t="s">
        <v>242</v>
      </c>
      <c r="B160" s="11" t="s">
        <v>75</v>
      </c>
      <c r="C16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2.4479554390563565</v>
      </c>
      <c r="D160" s="12">
        <f>(LEE[[#This Row],[60+Mins Last Season]]/LEE[[#This Row],[Possible 60+Mins Last Season]] * (38-MAX(GameRecord[GW]))/38) + (LEE[[#This Row],[60+Mins This Season]]/LEE[[#This Row],[Possible 60+Mins This Season]] * (MAX(GameRecord[GW]))/38)</f>
        <v>0.5</v>
      </c>
      <c r="E160" s="12">
        <v>0.03</v>
      </c>
      <c r="F160" s="12">
        <v>0.06</v>
      </c>
      <c r="G160" s="12">
        <v>0.11795543905635648</v>
      </c>
      <c r="H160" s="11">
        <v>16</v>
      </c>
      <c r="I160" s="11">
        <v>32</v>
      </c>
      <c r="J160" s="11"/>
      <c r="K160" s="11"/>
      <c r="L160" s="11"/>
      <c r="M160" s="11"/>
      <c r="N160" s="11">
        <v>1</v>
      </c>
      <c r="O160" s="11"/>
      <c r="P160" s="12">
        <f>LEE[[#This Row],[xPoints Av.]]*LEE[[#This Row],[Regularity]]</f>
        <v>1.2239777195281782</v>
      </c>
      <c r="Q160" s="11" t="s">
        <v>22</v>
      </c>
    </row>
    <row r="161" spans="1:17" ht="30" customHeight="1" x14ac:dyDescent="0.45">
      <c r="A161" s="11" t="s">
        <v>244</v>
      </c>
      <c r="B161" s="11" t="s">
        <v>84</v>
      </c>
      <c r="C16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4.6500000000000004</v>
      </c>
      <c r="D161" s="12">
        <f>(LEE[[#This Row],[60+Mins Last Season]]/LEE[[#This Row],[Possible 60+Mins Last Season]] * (38-MAX(GameRecord[GW]))/38) + (LEE[[#This Row],[60+Mins This Season]]/LEE[[#This Row],[Possible 60+Mins This Season]] * (MAX(GameRecord[GW]))/38)</f>
        <v>0.15789473684210525</v>
      </c>
      <c r="E161" s="12">
        <v>0.49</v>
      </c>
      <c r="F161" s="12">
        <v>0.23</v>
      </c>
      <c r="G161" s="12">
        <v>0.1988510826336721</v>
      </c>
      <c r="H161" s="11">
        <v>6</v>
      </c>
      <c r="I161" s="11">
        <v>38</v>
      </c>
      <c r="J161" s="11"/>
      <c r="K161" s="11"/>
      <c r="L161" s="11"/>
      <c r="M161" s="11"/>
      <c r="N161" s="11">
        <v>1</v>
      </c>
      <c r="O161" s="11"/>
      <c r="P161" s="12">
        <f>LEE[[#This Row],[xPoints Av.]]*LEE[[#This Row],[Regularity]]</f>
        <v>0.73421052631578954</v>
      </c>
      <c r="Q161" s="11" t="s">
        <v>22</v>
      </c>
    </row>
    <row r="163" spans="1:17" ht="30" customHeight="1" x14ac:dyDescent="0.35">
      <c r="A163" s="24" t="s">
        <v>246</v>
      </c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</row>
    <row r="164" spans="1:17" ht="30" customHeight="1" x14ac:dyDescent="0.35">
      <c r="A164" s="2" t="s">
        <v>52</v>
      </c>
      <c r="B164" s="2" t="s">
        <v>86</v>
      </c>
      <c r="C164" s="2" t="s">
        <v>59</v>
      </c>
      <c r="D164" s="2" t="s">
        <v>54</v>
      </c>
      <c r="E164" s="2" t="s">
        <v>55</v>
      </c>
      <c r="F164" s="2" t="s">
        <v>56</v>
      </c>
      <c r="G164" s="2" t="s">
        <v>65</v>
      </c>
      <c r="H164" s="2" t="s">
        <v>88</v>
      </c>
      <c r="I164" s="2" t="s">
        <v>89</v>
      </c>
      <c r="J164" s="2" t="s">
        <v>57</v>
      </c>
      <c r="K164" s="2" t="s">
        <v>58</v>
      </c>
      <c r="L164" s="2" t="s">
        <v>66</v>
      </c>
      <c r="M164" s="2" t="s">
        <v>87</v>
      </c>
      <c r="N164" s="2" t="s">
        <v>90</v>
      </c>
      <c r="O164" s="2" t="s">
        <v>67</v>
      </c>
      <c r="P164" s="2" t="s">
        <v>53</v>
      </c>
      <c r="Q164" s="2" t="s">
        <v>0</v>
      </c>
    </row>
    <row r="165" spans="1:17" ht="30" customHeight="1" x14ac:dyDescent="0.45">
      <c r="A165" s="11" t="s">
        <v>263</v>
      </c>
      <c r="B165" s="11" t="s">
        <v>84</v>
      </c>
      <c r="C16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4.24</v>
      </c>
      <c r="D165" s="12">
        <f>(LEI[[#This Row],[60+Mins Last Season]]/LEI[[#This Row],[Possible 60+Mins Last Season]] * (38-MAX(GameRecord[GW]))/38) + (LEI[[#This Row],[60+Mins This Season]]/LEI[[#This Row],[Possible 60+Mins This Season]] * (MAX(GameRecord[GW]))/38)</f>
        <v>1</v>
      </c>
      <c r="E165" s="12">
        <v>0.5</v>
      </c>
      <c r="F165" s="12">
        <v>0.08</v>
      </c>
      <c r="G165" s="12">
        <v>0.19988895058300943</v>
      </c>
      <c r="H165" s="11">
        <v>18</v>
      </c>
      <c r="I165" s="11">
        <v>18</v>
      </c>
      <c r="J165" s="11"/>
      <c r="K165" s="11"/>
      <c r="L165" s="11"/>
      <c r="M165" s="11"/>
      <c r="N165" s="11">
        <v>1</v>
      </c>
      <c r="O165" s="11"/>
      <c r="P165" s="12">
        <f>LEI[[#This Row],[xPoints Av.]]*LEI[[#This Row],[Regularity]]</f>
        <v>4.24</v>
      </c>
      <c r="Q165" s="11" t="s">
        <v>14</v>
      </c>
    </row>
    <row r="166" spans="1:17" ht="30" customHeight="1" x14ac:dyDescent="0.45">
      <c r="A166" s="11" t="s">
        <v>257</v>
      </c>
      <c r="B166" s="11" t="s">
        <v>75</v>
      </c>
      <c r="C16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3.4054012932674018</v>
      </c>
      <c r="D166" s="12">
        <f>(LEI[[#This Row],[60+Mins Last Season]]/LEI[[#This Row],[Possible 60+Mins Last Season]] * (38-MAX(GameRecord[GW]))/38) + (LEI[[#This Row],[60+Mins This Season]]/LEI[[#This Row],[Possible 60+Mins This Season]] * (MAX(GameRecord[GW]))/38)</f>
        <v>0.90625</v>
      </c>
      <c r="E166" s="12">
        <v>0.15</v>
      </c>
      <c r="F166" s="12">
        <v>0.15</v>
      </c>
      <c r="G166" s="12">
        <v>0.20540129326740206</v>
      </c>
      <c r="H166" s="11">
        <v>29</v>
      </c>
      <c r="I166" s="11">
        <v>32</v>
      </c>
      <c r="J166" s="11"/>
      <c r="K166" s="11"/>
      <c r="L166" s="11"/>
      <c r="M166" s="11"/>
      <c r="N166" s="11">
        <v>1</v>
      </c>
      <c r="O166" s="11"/>
      <c r="P166" s="12">
        <f>LEI[[#This Row],[xPoints Av.]]*LEI[[#This Row],[Regularity]]</f>
        <v>3.0861449220235828</v>
      </c>
      <c r="Q166" s="11" t="s">
        <v>14</v>
      </c>
    </row>
    <row r="167" spans="1:17" ht="30" customHeight="1" x14ac:dyDescent="0.45">
      <c r="A167" s="11" t="s">
        <v>253</v>
      </c>
      <c r="B167" s="11" t="s">
        <v>64</v>
      </c>
      <c r="C16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3.2549182763744429</v>
      </c>
      <c r="D167" s="12">
        <f>(LEI[[#This Row],[60+Mins Last Season]]/LEI[[#This Row],[Possible 60+Mins Last Season]] * (38-MAX(GameRecord[GW]))/38) + (LEI[[#This Row],[60+Mins This Season]]/LEI[[#This Row],[Possible 60+Mins This Season]] * (MAX(GameRecord[GW]))/38)</f>
        <v>0.93333333333333335</v>
      </c>
      <c r="E167" s="12">
        <v>0.09</v>
      </c>
      <c r="F167" s="12">
        <v>0.06</v>
      </c>
      <c r="G167" s="12">
        <v>0.1337295690936107</v>
      </c>
      <c r="H167" s="11">
        <v>14</v>
      </c>
      <c r="I167" s="11">
        <v>15</v>
      </c>
      <c r="J167" s="11"/>
      <c r="K167" s="11"/>
      <c r="L167" s="11"/>
      <c r="M167" s="11"/>
      <c r="N167" s="11">
        <v>1</v>
      </c>
      <c r="O167" s="11"/>
      <c r="P167" s="12">
        <f>LEI[[#This Row],[xPoints Av.]]*LEI[[#This Row],[Regularity]]</f>
        <v>3.0379237246161468</v>
      </c>
      <c r="Q167" s="11" t="s">
        <v>14</v>
      </c>
    </row>
    <row r="168" spans="1:17" ht="30" customHeight="1" x14ac:dyDescent="0.45">
      <c r="A168" s="11" t="s">
        <v>255</v>
      </c>
      <c r="B168" s="11" t="s">
        <v>75</v>
      </c>
      <c r="C16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4.0133740831295839</v>
      </c>
      <c r="D168" s="12">
        <f>(LEI[[#This Row],[60+Mins Last Season]]/LEI[[#This Row],[Possible 60+Mins Last Season]] * (38-MAX(GameRecord[GW]))/38) + (LEI[[#This Row],[60+Mins This Season]]/LEI[[#This Row],[Possible 60+Mins This Season]] * (MAX(GameRecord[GW]))/38)</f>
        <v>0.75</v>
      </c>
      <c r="E168" s="12">
        <v>0.24</v>
      </c>
      <c r="F168" s="12">
        <v>0.21</v>
      </c>
      <c r="G168" s="12">
        <v>0.18337408312958436</v>
      </c>
      <c r="H168" s="11">
        <v>27</v>
      </c>
      <c r="I168" s="11">
        <v>36</v>
      </c>
      <c r="J168" s="11"/>
      <c r="K168" s="11"/>
      <c r="L168" s="11"/>
      <c r="M168" s="11"/>
      <c r="N168" s="11">
        <v>1</v>
      </c>
      <c r="O168" s="11"/>
      <c r="P168" s="12">
        <f>LEI[[#This Row],[xPoints Av.]]*LEI[[#This Row],[Regularity]]</f>
        <v>3.0100305623471879</v>
      </c>
      <c r="Q168" s="11" t="s">
        <v>14</v>
      </c>
    </row>
    <row r="169" spans="1:17" ht="30" customHeight="1" x14ac:dyDescent="0.45">
      <c r="A169" s="14" t="s">
        <v>247</v>
      </c>
      <c r="B169" s="11" t="s">
        <v>62</v>
      </c>
      <c r="C16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2.756756756756757</v>
      </c>
      <c r="D169" s="12">
        <f>(LEI[[#This Row],[60+Mins Last Season]]/LEI[[#This Row],[Possible 60+Mins Last Season]] * (38-MAX(GameRecord[GW]))/38) + (LEI[[#This Row],[60+Mins This Season]]/LEI[[#This Row],[Possible 60+Mins This Season]] * (MAX(GameRecord[GW]))/38)</f>
        <v>0.97368421052631582</v>
      </c>
      <c r="E169" s="12">
        <v>0</v>
      </c>
      <c r="F169" s="12">
        <v>0</v>
      </c>
      <c r="G169" s="12">
        <v>0.1891891891891892</v>
      </c>
      <c r="H169" s="11">
        <v>37</v>
      </c>
      <c r="I169" s="11">
        <v>38</v>
      </c>
      <c r="J169" s="11"/>
      <c r="K169" s="11"/>
      <c r="L169" s="11"/>
      <c r="M169" s="11"/>
      <c r="N169" s="11">
        <v>1</v>
      </c>
      <c r="O169" s="11"/>
      <c r="P169" s="12">
        <f>LEI[[#This Row],[xPoints Av.]]*LEI[[#This Row],[Regularity]]</f>
        <v>2.6842105263157898</v>
      </c>
      <c r="Q169" s="11" t="s">
        <v>14</v>
      </c>
    </row>
    <row r="170" spans="1:17" ht="30" customHeight="1" x14ac:dyDescent="0.45">
      <c r="A170" s="11" t="s">
        <v>256</v>
      </c>
      <c r="B170" s="11" t="s">
        <v>75</v>
      </c>
      <c r="C17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4.2636754176610978</v>
      </c>
      <c r="D170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0" s="12">
        <v>0.27</v>
      </c>
      <c r="F170" s="12">
        <v>0.19</v>
      </c>
      <c r="G170" s="12">
        <v>0.34367541766109783</v>
      </c>
      <c r="H170" s="11">
        <v>23</v>
      </c>
      <c r="I170" s="11">
        <v>38</v>
      </c>
      <c r="J170" s="11"/>
      <c r="K170" s="11"/>
      <c r="L170" s="11"/>
      <c r="M170" s="11"/>
      <c r="N170" s="11">
        <v>1</v>
      </c>
      <c r="O170" s="11"/>
      <c r="P170" s="12">
        <f>LEI[[#This Row],[xPoints Av.]]*LEI[[#This Row],[Regularity]]</f>
        <v>2.5806456475317172</v>
      </c>
      <c r="Q170" s="11" t="s">
        <v>14</v>
      </c>
    </row>
    <row r="171" spans="1:17" ht="30" customHeight="1" x14ac:dyDescent="0.45">
      <c r="A171" s="11" t="s">
        <v>250</v>
      </c>
      <c r="B171" s="11" t="s">
        <v>64</v>
      </c>
      <c r="C17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2.9608650380456547</v>
      </c>
      <c r="D171" s="12">
        <f>(LEI[[#This Row],[60+Mins Last Season]]/LEI[[#This Row],[Possible 60+Mins Last Season]] * (38-MAX(GameRecord[GW]))/38) + (LEI[[#This Row],[60+Mins This Season]]/LEI[[#This Row],[Possible 60+Mins This Season]] * (MAX(GameRecord[GW]))/38)</f>
        <v>0.82352941176470584</v>
      </c>
      <c r="E171" s="12">
        <v>0.04</v>
      </c>
      <c r="F171" s="12">
        <v>0</v>
      </c>
      <c r="G171" s="12">
        <v>0.18021625951141371</v>
      </c>
      <c r="H171" s="11">
        <v>28</v>
      </c>
      <c r="I171" s="11">
        <v>34</v>
      </c>
      <c r="J171" s="11"/>
      <c r="K171" s="11"/>
      <c r="L171" s="11"/>
      <c r="M171" s="11"/>
      <c r="N171" s="11">
        <v>1</v>
      </c>
      <c r="O171" s="11"/>
      <c r="P171" s="12">
        <f>LEI[[#This Row],[xPoints Av.]]*LEI[[#This Row],[Regularity]]</f>
        <v>2.4383594430964215</v>
      </c>
      <c r="Q171" s="11" t="s">
        <v>14</v>
      </c>
    </row>
    <row r="172" spans="1:17" ht="30" customHeight="1" x14ac:dyDescent="0.45">
      <c r="A172" s="11" t="s">
        <v>260</v>
      </c>
      <c r="B172" s="11" t="s">
        <v>75</v>
      </c>
      <c r="C17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2.4282931354359927</v>
      </c>
      <c r="D172" s="12">
        <f>(LEI[[#This Row],[60+Mins Last Season]]/LEI[[#This Row],[Possible 60+Mins Last Season]] * (38-MAX(GameRecord[GW]))/38) + (LEI[[#This Row],[60+Mins This Season]]/LEI[[#This Row],[Possible 60+Mins This Season]] * (MAX(GameRecord[GW]))/38)</f>
        <v>0.8571428571428571</v>
      </c>
      <c r="E172" s="12">
        <v>0.03</v>
      </c>
      <c r="F172" s="12">
        <v>0</v>
      </c>
      <c r="G172" s="12">
        <v>0.2782931354359926</v>
      </c>
      <c r="H172" s="11">
        <v>18</v>
      </c>
      <c r="I172" s="11">
        <v>21</v>
      </c>
      <c r="J172" s="11"/>
      <c r="K172" s="11"/>
      <c r="L172" s="11"/>
      <c r="M172" s="11"/>
      <c r="N172" s="11">
        <v>1</v>
      </c>
      <c r="O172" s="11"/>
      <c r="P172" s="12">
        <f>LEI[[#This Row],[xPoints Av.]]*LEI[[#This Row],[Regularity]]</f>
        <v>2.0813941160879934</v>
      </c>
      <c r="Q172" s="11" t="s">
        <v>14</v>
      </c>
    </row>
    <row r="173" spans="1:17" ht="30" customHeight="1" x14ac:dyDescent="0.45">
      <c r="A173" s="11" t="s">
        <v>249</v>
      </c>
      <c r="B173" s="11" t="s">
        <v>64</v>
      </c>
      <c r="C173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3.4069491525423725</v>
      </c>
      <c r="D173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3" s="12">
        <v>0.04</v>
      </c>
      <c r="F173" s="12">
        <v>0.05</v>
      </c>
      <c r="G173" s="12">
        <v>0.25423728813559321</v>
      </c>
      <c r="H173" s="11">
        <v>23</v>
      </c>
      <c r="I173" s="11">
        <v>38</v>
      </c>
      <c r="J173" s="11"/>
      <c r="K173" s="11"/>
      <c r="L173" s="11"/>
      <c r="M173" s="11"/>
      <c r="N173" s="11">
        <v>1</v>
      </c>
      <c r="O173" s="11"/>
      <c r="P173" s="12">
        <f>LEI[[#This Row],[xPoints Av.]]*LEI[[#This Row],[Regularity]]</f>
        <v>2.062100802854594</v>
      </c>
      <c r="Q173" s="11" t="s">
        <v>14</v>
      </c>
    </row>
    <row r="174" spans="1:17" ht="30" customHeight="1" x14ac:dyDescent="0.45">
      <c r="A174" s="13" t="s">
        <v>259</v>
      </c>
      <c r="B174" s="11" t="s">
        <v>75</v>
      </c>
      <c r="C174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3.0326939552594006</v>
      </c>
      <c r="D174" s="12">
        <f>(LEI[[#This Row],[60+Mins Last Season]]/LEI[[#This Row],[Possible 60+Mins Last Season]] * (38-MAX(GameRecord[GW]))/38) + (LEI[[#This Row],[60+Mins This Season]]/LEI[[#This Row],[Possible 60+Mins This Season]] * (MAX(GameRecord[GW]))/38)</f>
        <v>0.6216216216216216</v>
      </c>
      <c r="E174" s="12">
        <v>0.06</v>
      </c>
      <c r="F174" s="12">
        <v>0.13</v>
      </c>
      <c r="G174" s="12">
        <v>0.34269395525940027</v>
      </c>
      <c r="H174" s="11">
        <v>23</v>
      </c>
      <c r="I174" s="11">
        <v>37</v>
      </c>
      <c r="J174" s="11"/>
      <c r="K174" s="11"/>
      <c r="L174" s="11"/>
      <c r="M174" s="11"/>
      <c r="N174" s="11">
        <v>1</v>
      </c>
      <c r="O174" s="11"/>
      <c r="P174" s="12">
        <f>LEI[[#This Row],[xPoints Av.]]*LEI[[#This Row],[Regularity]]</f>
        <v>1.8851881343504382</v>
      </c>
      <c r="Q174" s="11" t="s">
        <v>14</v>
      </c>
    </row>
    <row r="175" spans="1:17" ht="30" customHeight="1" x14ac:dyDescent="0.45">
      <c r="A175" s="11" t="s">
        <v>252</v>
      </c>
      <c r="B175" s="11" t="s">
        <v>64</v>
      </c>
      <c r="C17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3.2119152276295133</v>
      </c>
      <c r="D175" s="12">
        <f>(LEI[[#This Row],[60+Mins Last Season]]/LEI[[#This Row],[Possible 60+Mins Last Season]] * (38-MAX(GameRecord[GW]))/38) + (LEI[[#This Row],[60+Mins This Season]]/LEI[[#This Row],[Possible 60+Mins This Season]] * (MAX(GameRecord[GW]))/38)</f>
        <v>0.52631578947368418</v>
      </c>
      <c r="E175" s="12">
        <v>0.01</v>
      </c>
      <c r="F175" s="12">
        <v>7.0000000000000007E-2</v>
      </c>
      <c r="G175" s="12">
        <v>0.23547880690737832</v>
      </c>
      <c r="H175" s="11">
        <v>20</v>
      </c>
      <c r="I175" s="11">
        <v>38</v>
      </c>
      <c r="J175" s="11"/>
      <c r="K175" s="11"/>
      <c r="L175" s="11"/>
      <c r="M175" s="11"/>
      <c r="N175" s="11">
        <v>1</v>
      </c>
      <c r="O175" s="11"/>
      <c r="P175" s="12">
        <f>LEI[[#This Row],[xPoints Av.]]*LEI[[#This Row],[Regularity]]</f>
        <v>1.6904816987523754</v>
      </c>
      <c r="Q175" s="11" t="s">
        <v>14</v>
      </c>
    </row>
    <row r="176" spans="1:17" ht="30" customHeight="1" x14ac:dyDescent="0.45">
      <c r="A176" s="11" t="s">
        <v>251</v>
      </c>
      <c r="B176" s="11" t="s">
        <v>64</v>
      </c>
      <c r="C17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2.8798583569405096</v>
      </c>
      <c r="D176" s="12">
        <f>(LEI[[#This Row],[60+Mins Last Season]]/LEI[[#This Row],[Possible 60+Mins Last Season]] * (38-MAX(GameRecord[GW]))/38) + (LEI[[#This Row],[60+Mins This Season]]/LEI[[#This Row],[Possible 60+Mins This Season]] * (MAX(GameRecord[GW]))/38)</f>
        <v>0.57894736842105265</v>
      </c>
      <c r="E176" s="12">
        <v>0</v>
      </c>
      <c r="F176" s="12">
        <v>0.01</v>
      </c>
      <c r="G176" s="12">
        <v>0.21246458923512745</v>
      </c>
      <c r="H176" s="11">
        <v>22</v>
      </c>
      <c r="I176" s="11">
        <v>38</v>
      </c>
      <c r="J176" s="11"/>
      <c r="K176" s="11"/>
      <c r="L176" s="11"/>
      <c r="M176" s="11"/>
      <c r="N176" s="11">
        <v>1</v>
      </c>
      <c r="O176" s="11"/>
      <c r="P176" s="12">
        <f>LEI[[#This Row],[xPoints Av.]]*LEI[[#This Row],[Regularity]]</f>
        <v>1.6672864171760846</v>
      </c>
      <c r="Q176" s="11" t="s">
        <v>14</v>
      </c>
    </row>
    <row r="177" spans="1:17" ht="30" customHeight="1" x14ac:dyDescent="0.45">
      <c r="A177" s="11" t="s">
        <v>258</v>
      </c>
      <c r="B177" s="11" t="s">
        <v>75</v>
      </c>
      <c r="C17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3.9044813278008297</v>
      </c>
      <c r="D177" s="12">
        <f>(LEI[[#This Row],[60+Mins Last Season]]/LEI[[#This Row],[Possible 60+Mins Last Season]] * (38-MAX(GameRecord[GW]))/38) + (LEI[[#This Row],[60+Mins This Season]]/LEI[[#This Row],[Possible 60+Mins This Season]] * (MAX(GameRecord[GW]))/38)</f>
        <v>0.4</v>
      </c>
      <c r="E177" s="12">
        <v>0.28999999999999998</v>
      </c>
      <c r="F177" s="12">
        <v>0.11</v>
      </c>
      <c r="G177" s="12">
        <v>0.12448132780082988</v>
      </c>
      <c r="H177" s="11">
        <v>14</v>
      </c>
      <c r="I177" s="11">
        <v>35</v>
      </c>
      <c r="J177" s="11"/>
      <c r="K177" s="11"/>
      <c r="L177" s="11"/>
      <c r="M177" s="11"/>
      <c r="N177" s="11">
        <v>1</v>
      </c>
      <c r="O177" s="11"/>
      <c r="P177" s="12">
        <f>LEI[[#This Row],[xPoints Av.]]*LEI[[#This Row],[Regularity]]</f>
        <v>1.561792531120332</v>
      </c>
      <c r="Q177" s="11" t="s">
        <v>14</v>
      </c>
    </row>
    <row r="178" spans="1:17" ht="30" customHeight="1" x14ac:dyDescent="0.45">
      <c r="A178" s="11" t="s">
        <v>265</v>
      </c>
      <c r="B178" s="11" t="s">
        <v>84</v>
      </c>
      <c r="C17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4.0199999999999996</v>
      </c>
      <c r="D178" s="12">
        <f>(LEI[[#This Row],[60+Mins Last Season]]/LEI[[#This Row],[Possible 60+Mins Last Season]] * (38-MAX(GameRecord[GW]))/38) + (LEI[[#This Row],[60+Mins This Season]]/LEI[[#This Row],[Possible 60+Mins This Season]] * (MAX(GameRecord[GW]))/38)</f>
        <v>0.31578947368421051</v>
      </c>
      <c r="E178" s="12">
        <v>0.4</v>
      </c>
      <c r="F178" s="12">
        <v>0.14000000000000001</v>
      </c>
      <c r="G178" s="12">
        <v>0.234375</v>
      </c>
      <c r="H178" s="18">
        <v>12</v>
      </c>
      <c r="I178" s="18">
        <v>38</v>
      </c>
      <c r="J178" s="11"/>
      <c r="K178" s="11"/>
      <c r="L178" s="11"/>
      <c r="M178" s="11"/>
      <c r="N178" s="11">
        <v>1</v>
      </c>
      <c r="O178" s="11"/>
      <c r="P178" s="12">
        <f>LEI[[#This Row],[xPoints Av.]]*LEI[[#This Row],[Regularity]]</f>
        <v>1.2694736842105261</v>
      </c>
      <c r="Q178" s="11" t="s">
        <v>14</v>
      </c>
    </row>
    <row r="179" spans="1:17" ht="30" customHeight="1" x14ac:dyDescent="0.45">
      <c r="A179" s="11" t="s">
        <v>264</v>
      </c>
      <c r="B179" s="11" t="s">
        <v>84</v>
      </c>
      <c r="C17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3.64</v>
      </c>
      <c r="D179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79" s="12">
        <v>0.26</v>
      </c>
      <c r="F179" s="12">
        <v>0.2</v>
      </c>
      <c r="G179" s="12">
        <v>7.1827613727055067E-2</v>
      </c>
      <c r="H179" s="18">
        <v>11</v>
      </c>
      <c r="I179" s="18">
        <v>38</v>
      </c>
      <c r="J179" s="11"/>
      <c r="K179" s="11"/>
      <c r="L179" s="11"/>
      <c r="M179" s="11"/>
      <c r="N179" s="11">
        <v>1</v>
      </c>
      <c r="O179" s="11"/>
      <c r="P179" s="12">
        <f>LEI[[#This Row],[xPoints Av.]]*LEI[[#This Row],[Regularity]]</f>
        <v>1.0536842105263158</v>
      </c>
      <c r="Q179" s="11" t="s">
        <v>14</v>
      </c>
    </row>
    <row r="180" spans="1:17" ht="30" customHeight="1" x14ac:dyDescent="0.45">
      <c r="A180" s="11" t="s">
        <v>254</v>
      </c>
      <c r="B180" s="11" t="s">
        <v>64</v>
      </c>
      <c r="C18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3.0536363636363637</v>
      </c>
      <c r="D180" s="12">
        <f>(LEI[[#This Row],[60+Mins Last Season]]/LEI[[#This Row],[Possible 60+Mins Last Season]] * (38-MAX(GameRecord[GW]))/38) + (LEI[[#This Row],[60+Mins This Season]]/LEI[[#This Row],[Possible 60+Mins This Season]] * (MAX(GameRecord[GW]))/38)</f>
        <v>0.28125</v>
      </c>
      <c r="E180" s="12">
        <v>0.05</v>
      </c>
      <c r="F180" s="12">
        <v>0.13</v>
      </c>
      <c r="G180" s="12">
        <v>9.0909090909090912E-2</v>
      </c>
      <c r="H180" s="11">
        <v>9</v>
      </c>
      <c r="I180" s="11">
        <v>32</v>
      </c>
      <c r="J180" s="11"/>
      <c r="K180" s="11"/>
      <c r="L180" s="11"/>
      <c r="M180" s="11"/>
      <c r="N180" s="11">
        <v>1</v>
      </c>
      <c r="O180" s="11"/>
      <c r="P180" s="12">
        <f>LEI[[#This Row],[xPoints Av.]]*LEI[[#This Row],[Regularity]]</f>
        <v>0.85883522727272732</v>
      </c>
      <c r="Q180" s="11" t="s">
        <v>14</v>
      </c>
    </row>
    <row r="181" spans="1:17" ht="30" customHeight="1" x14ac:dyDescent="0.45">
      <c r="A181" s="11" t="s">
        <v>261</v>
      </c>
      <c r="B181" s="11" t="s">
        <v>75</v>
      </c>
      <c r="C18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2.7797160603371784</v>
      </c>
      <c r="D181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1" s="12">
        <v>0.04</v>
      </c>
      <c r="F181" s="12">
        <v>0.14000000000000001</v>
      </c>
      <c r="G181" s="12">
        <v>0.15971606033717836</v>
      </c>
      <c r="H181" s="11">
        <v>11</v>
      </c>
      <c r="I181" s="11">
        <v>38</v>
      </c>
      <c r="J181" s="11"/>
      <c r="K181" s="11"/>
      <c r="L181" s="11"/>
      <c r="M181" s="11"/>
      <c r="N181" s="11">
        <v>1</v>
      </c>
      <c r="O181" s="11"/>
      <c r="P181" s="12">
        <f>LEI[[#This Row],[xPoints Av.]]*LEI[[#This Row],[Regularity]]</f>
        <v>0.80465464904497275</v>
      </c>
      <c r="Q181" s="11" t="s">
        <v>14</v>
      </c>
    </row>
    <row r="182" spans="1:17" ht="30" customHeight="1" x14ac:dyDescent="0.45">
      <c r="A182" s="11" t="s">
        <v>262</v>
      </c>
      <c r="B182" s="11" t="s">
        <v>75</v>
      </c>
      <c r="C18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2.3743835616438358</v>
      </c>
      <c r="D182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2" s="12">
        <v>0.03</v>
      </c>
      <c r="F182" s="12">
        <v>0.02</v>
      </c>
      <c r="G182" s="12">
        <v>0.16438356164383564</v>
      </c>
      <c r="H182" s="11">
        <v>11</v>
      </c>
      <c r="I182" s="11">
        <v>38</v>
      </c>
      <c r="J182" s="11"/>
      <c r="K182" s="11"/>
      <c r="L182" s="11"/>
      <c r="M182" s="11"/>
      <c r="N182" s="11">
        <v>1</v>
      </c>
      <c r="O182" s="11"/>
      <c r="P182" s="12">
        <f>LEI[[#This Row],[xPoints Av.]]*LEI[[#This Row],[Regularity]]</f>
        <v>0.68732155731795253</v>
      </c>
      <c r="Q182" s="11" t="s">
        <v>14</v>
      </c>
    </row>
    <row r="184" spans="1:17" ht="30" customHeight="1" x14ac:dyDescent="0.35">
      <c r="A184" s="24" t="s">
        <v>266</v>
      </c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</row>
    <row r="185" spans="1:17" ht="30" customHeight="1" x14ac:dyDescent="0.35">
      <c r="A185" s="2" t="s">
        <v>52</v>
      </c>
      <c r="B185" s="2" t="s">
        <v>86</v>
      </c>
      <c r="C185" s="2" t="s">
        <v>59</v>
      </c>
      <c r="D185" s="2" t="s">
        <v>54</v>
      </c>
      <c r="E185" s="2" t="s">
        <v>55</v>
      </c>
      <c r="F185" s="2" t="s">
        <v>56</v>
      </c>
      <c r="G185" s="2" t="s">
        <v>65</v>
      </c>
      <c r="H185" s="2" t="s">
        <v>88</v>
      </c>
      <c r="I185" s="2" t="s">
        <v>89</v>
      </c>
      <c r="J185" s="2" t="s">
        <v>57</v>
      </c>
      <c r="K185" s="2" t="s">
        <v>58</v>
      </c>
      <c r="L185" s="2" t="s">
        <v>66</v>
      </c>
      <c r="M185" s="2" t="s">
        <v>87</v>
      </c>
      <c r="N185" s="2" t="s">
        <v>90</v>
      </c>
      <c r="O185" s="2" t="s">
        <v>67</v>
      </c>
      <c r="P185" s="2" t="s">
        <v>53</v>
      </c>
      <c r="Q185" s="2" t="s">
        <v>0</v>
      </c>
    </row>
    <row r="186" spans="1:17" ht="30" customHeight="1" x14ac:dyDescent="0.45">
      <c r="A186" s="11" t="s">
        <v>276</v>
      </c>
      <c r="B186" s="11" t="s">
        <v>75</v>
      </c>
      <c r="C18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7.514749818709209</v>
      </c>
      <c r="D186" s="12">
        <f>(LIV[[#This Row],[60+Mins Last Season]]/LIV[[#This Row],[Possible 60+Mins Last Season]] * (38-MAX(GameRecord[GW]))/38) + (LIV[[#This Row],[60+Mins This Season]]/LIV[[#This Row],[Possible 60+Mins This Season]] * (MAX(GameRecord[GW]))/38)</f>
        <v>0.83333333333333337</v>
      </c>
      <c r="E186" s="12">
        <v>0.8</v>
      </c>
      <c r="F186" s="12">
        <v>0.32</v>
      </c>
      <c r="G186" s="12">
        <v>0.55474981870920959</v>
      </c>
      <c r="H186" s="11">
        <v>30</v>
      </c>
      <c r="I186" s="11">
        <v>36</v>
      </c>
      <c r="J186" s="11"/>
      <c r="K186" s="11"/>
      <c r="L186" s="11"/>
      <c r="M186" s="11"/>
      <c r="N186" s="11">
        <v>1</v>
      </c>
      <c r="O186" s="11"/>
      <c r="P186" s="12">
        <f>LIV[[#This Row],[xPoints Av.]]*LIV[[#This Row],[Regularity]]</f>
        <v>6.2622915155910075</v>
      </c>
      <c r="Q186" s="11" t="s">
        <v>8</v>
      </c>
    </row>
    <row r="187" spans="1:17" ht="30" customHeight="1" x14ac:dyDescent="0.45">
      <c r="A187" s="1" t="s">
        <v>270</v>
      </c>
      <c r="B187" s="11" t="s">
        <v>64</v>
      </c>
      <c r="C18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5.891293375394322</v>
      </c>
      <c r="D187" s="12">
        <f>(LIV[[#This Row],[60+Mins Last Season]]/LIV[[#This Row],[Possible 60+Mins Last Season]] * (38-MAX(GameRecord[GW]))/38) + (LIV[[#This Row],[60+Mins This Season]]/LIV[[#This Row],[Possible 60+Mins This Season]] * (MAX(GameRecord[GW]))/38)</f>
        <v>0.94117647058823528</v>
      </c>
      <c r="E187" s="12">
        <v>7.0000000000000007E-2</v>
      </c>
      <c r="F187" s="12">
        <v>0.4</v>
      </c>
      <c r="G187" s="12">
        <v>0.56782334384858046</v>
      </c>
      <c r="H187" s="11">
        <v>32</v>
      </c>
      <c r="I187" s="11">
        <v>34</v>
      </c>
      <c r="J187" s="11"/>
      <c r="K187" s="11"/>
      <c r="L187" s="11"/>
      <c r="M187" s="11"/>
      <c r="N187" s="11">
        <v>1</v>
      </c>
      <c r="O187" s="11"/>
      <c r="P187" s="12">
        <f>LIV[[#This Row],[xPoints Av.]]*LIV[[#This Row],[Regularity]]</f>
        <v>5.5447467062534797</v>
      </c>
      <c r="Q187" s="11" t="s">
        <v>8</v>
      </c>
    </row>
    <row r="188" spans="1:17" ht="30" customHeight="1" x14ac:dyDescent="0.45">
      <c r="A188" s="11" t="s">
        <v>272</v>
      </c>
      <c r="B188" s="11" t="s">
        <v>64</v>
      </c>
      <c r="C18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4.9805882352941175</v>
      </c>
      <c r="D188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88" s="12">
        <v>0.06</v>
      </c>
      <c r="F188" s="12">
        <v>0.05</v>
      </c>
      <c r="G188" s="12">
        <v>0.61764705882352944</v>
      </c>
      <c r="H188" s="11">
        <v>34</v>
      </c>
      <c r="I188" s="11">
        <v>34</v>
      </c>
      <c r="J188" s="11"/>
      <c r="K188" s="11"/>
      <c r="L188" s="11"/>
      <c r="M188" s="11"/>
      <c r="N188" s="11">
        <v>1</v>
      </c>
      <c r="O188" s="11"/>
      <c r="P188" s="12">
        <f>LIV[[#This Row],[xPoints Av.]]*LIV[[#This Row],[Regularity]]</f>
        <v>4.9805882352941175</v>
      </c>
      <c r="Q188" s="11" t="s">
        <v>8</v>
      </c>
    </row>
    <row r="189" spans="1:17" ht="30" customHeight="1" x14ac:dyDescent="0.45">
      <c r="A189" s="11" t="s">
        <v>277</v>
      </c>
      <c r="B189" s="11" t="s">
        <v>75</v>
      </c>
      <c r="C18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5.7029382540809088</v>
      </c>
      <c r="D189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89" s="12">
        <v>0.53</v>
      </c>
      <c r="F189" s="12">
        <v>0.17</v>
      </c>
      <c r="G189" s="12">
        <v>0.54293825408090846</v>
      </c>
      <c r="H189" s="11">
        <v>31</v>
      </c>
      <c r="I189" s="11">
        <v>36</v>
      </c>
      <c r="J189" s="11"/>
      <c r="K189" s="11"/>
      <c r="L189" s="11"/>
      <c r="M189" s="11"/>
      <c r="N189" s="11">
        <v>1</v>
      </c>
      <c r="O189" s="11"/>
      <c r="P189" s="12">
        <f>LIV[[#This Row],[xPoints Av.]]*LIV[[#This Row],[Regularity]]</f>
        <v>4.9108634965696707</v>
      </c>
      <c r="Q189" s="11" t="s">
        <v>8</v>
      </c>
    </row>
    <row r="190" spans="1:17" ht="30" customHeight="1" x14ac:dyDescent="0.45">
      <c r="A190" s="11" t="s">
        <v>271</v>
      </c>
      <c r="B190" s="11" t="s">
        <v>64</v>
      </c>
      <c r="C19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5.5522979897516755</v>
      </c>
      <c r="D190" s="12">
        <f>(LIV[[#This Row],[60+Mins Last Season]]/LIV[[#This Row],[Possible 60+Mins Last Season]] * (38-MAX(GameRecord[GW]))/38) + (LIV[[#This Row],[60+Mins This Season]]/LIV[[#This Row],[Possible 60+Mins This Season]] * (MAX(GameRecord[GW]))/38)</f>
        <v>0.80555555555555558</v>
      </c>
      <c r="E190" s="12">
        <v>0.08</v>
      </c>
      <c r="F190" s="12">
        <v>0.22</v>
      </c>
      <c r="G190" s="12">
        <v>0.60307449743791874</v>
      </c>
      <c r="H190" s="11">
        <v>29</v>
      </c>
      <c r="I190" s="11">
        <v>36</v>
      </c>
      <c r="J190" s="11"/>
      <c r="K190" s="11"/>
      <c r="L190" s="11"/>
      <c r="M190" s="11"/>
      <c r="N190" s="11">
        <v>1</v>
      </c>
      <c r="O190" s="11"/>
      <c r="P190" s="12">
        <f>LIV[[#This Row],[xPoints Av.]]*LIV[[#This Row],[Regularity]]</f>
        <v>4.4726844917444053</v>
      </c>
      <c r="Q190" s="11" t="s">
        <v>8</v>
      </c>
    </row>
    <row r="191" spans="1:17" ht="30" customHeight="1" x14ac:dyDescent="0.45">
      <c r="A191" s="11" t="s">
        <v>278</v>
      </c>
      <c r="B191" s="11" t="s">
        <v>75</v>
      </c>
      <c r="C19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6.4445778532032243</v>
      </c>
      <c r="D191" s="12">
        <f>(LIV[[#This Row],[60+Mins Last Season]]/LIV[[#This Row],[Possible 60+Mins Last Season]] * (38-MAX(GameRecord[GW]))/38) + (LIV[[#This Row],[60+Mins This Season]]/LIV[[#This Row],[Possible 60+Mins This Season]] * (MAX(GameRecord[GW]))/38)</f>
        <v>0.68571428571428572</v>
      </c>
      <c r="E191" s="12">
        <v>0.65</v>
      </c>
      <c r="F191" s="12">
        <v>0.22</v>
      </c>
      <c r="G191" s="12">
        <v>0.53457785320322437</v>
      </c>
      <c r="H191" s="11">
        <v>24</v>
      </c>
      <c r="I191" s="11">
        <v>35</v>
      </c>
      <c r="J191" s="11"/>
      <c r="K191" s="11"/>
      <c r="L191" s="11"/>
      <c r="M191" s="11"/>
      <c r="N191" s="11">
        <v>1</v>
      </c>
      <c r="O191" s="11"/>
      <c r="P191" s="12">
        <f>LIV[[#This Row],[xPoints Av.]]*LIV[[#This Row],[Regularity]]</f>
        <v>4.419139099339354</v>
      </c>
      <c r="Q191" s="11" t="s">
        <v>8</v>
      </c>
    </row>
    <row r="192" spans="1:17" ht="30" customHeight="1" x14ac:dyDescent="0.45">
      <c r="A192" s="11" t="s">
        <v>273</v>
      </c>
      <c r="B192" s="11" t="s">
        <v>64</v>
      </c>
      <c r="C19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4.943548387096774</v>
      </c>
      <c r="D192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92" s="12">
        <v>0.09</v>
      </c>
      <c r="F192" s="12">
        <v>7.0000000000000007E-2</v>
      </c>
      <c r="G192" s="12">
        <v>0.54838709677419351</v>
      </c>
      <c r="H192" s="11">
        <v>31</v>
      </c>
      <c r="I192" s="11">
        <v>36</v>
      </c>
      <c r="J192" s="11"/>
      <c r="K192" s="11"/>
      <c r="L192" s="11"/>
      <c r="M192" s="11"/>
      <c r="N192" s="11">
        <v>1</v>
      </c>
      <c r="O192" s="11"/>
      <c r="P192" s="12">
        <f>LIV[[#This Row],[xPoints Av.]]*LIV[[#This Row],[Regularity]]</f>
        <v>4.2569444444444438</v>
      </c>
      <c r="Q192" s="11" t="s">
        <v>8</v>
      </c>
    </row>
    <row r="193" spans="1:17" ht="30" customHeight="1" x14ac:dyDescent="0.45">
      <c r="A193" s="11" t="s">
        <v>267</v>
      </c>
      <c r="B193" s="11" t="s">
        <v>62</v>
      </c>
      <c r="C19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4.2222222222222223</v>
      </c>
      <c r="D193" s="12">
        <f>(LIV[[#This Row],[60+Mins Last Season]]/LIV[[#This Row],[Possible 60+Mins Last Season]] * (38-MAX(GameRecord[GW]))/38) + (LIV[[#This Row],[60+Mins This Season]]/LIV[[#This Row],[Possible 60+Mins This Season]] * (MAX(GameRecord[GW]))/38)</f>
        <v>0.97297297297297303</v>
      </c>
      <c r="E193" s="12">
        <v>0</v>
      </c>
      <c r="F193" s="12">
        <v>0</v>
      </c>
      <c r="G193" s="12">
        <v>0.55555555555555558</v>
      </c>
      <c r="H193" s="11">
        <v>36</v>
      </c>
      <c r="I193" s="11">
        <v>37</v>
      </c>
      <c r="J193" s="11"/>
      <c r="K193" s="11"/>
      <c r="L193" s="11"/>
      <c r="M193" s="11"/>
      <c r="N193" s="11">
        <v>1</v>
      </c>
      <c r="O193" s="11"/>
      <c r="P193" s="12">
        <f>LIV[[#This Row],[xPoints Av.]]*LIV[[#This Row],[Regularity]]</f>
        <v>4.1081081081081088</v>
      </c>
      <c r="Q193" s="11" t="s">
        <v>8</v>
      </c>
    </row>
    <row r="194" spans="1:17" ht="30" customHeight="1" x14ac:dyDescent="0.45">
      <c r="A194" s="11" t="s">
        <v>281</v>
      </c>
      <c r="B194" s="11" t="s">
        <v>75</v>
      </c>
      <c r="C19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3.5983300589390961</v>
      </c>
      <c r="D194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94" s="12">
        <v>0.1</v>
      </c>
      <c r="F194" s="12">
        <v>0.15</v>
      </c>
      <c r="G194" s="12">
        <v>0.64833005893909634</v>
      </c>
      <c r="H194" s="11">
        <v>15</v>
      </c>
      <c r="I194" s="11">
        <v>15</v>
      </c>
      <c r="J194" s="11"/>
      <c r="K194" s="11"/>
      <c r="L194" s="11"/>
      <c r="M194" s="11"/>
      <c r="N194" s="11">
        <v>1</v>
      </c>
      <c r="O194" s="11"/>
      <c r="P194" s="12">
        <f>LIV[[#This Row],[xPoints Av.]]*LIV[[#This Row],[Regularity]]</f>
        <v>3.5983300589390961</v>
      </c>
      <c r="Q194" s="11" t="s">
        <v>8</v>
      </c>
    </row>
    <row r="195" spans="1:17" ht="30" customHeight="1" x14ac:dyDescent="0.45">
      <c r="A195" s="11" t="s">
        <v>283</v>
      </c>
      <c r="B195" s="11" t="s">
        <v>75</v>
      </c>
      <c r="C19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5.1642633228840129</v>
      </c>
      <c r="D195" s="12">
        <f>(LIV[[#This Row],[60+Mins Last Season]]/LIV[[#This Row],[Possible 60+Mins Last Season]] * (38-MAX(GameRecord[GW]))/38) + (LIV[[#This Row],[60+Mins This Season]]/LIV[[#This Row],[Possible 60+Mins This Season]] * (MAX(GameRecord[GW]))/38)</f>
        <v>0.625</v>
      </c>
      <c r="E195" s="12">
        <v>0.4</v>
      </c>
      <c r="F195" s="12">
        <v>0.2</v>
      </c>
      <c r="G195" s="12">
        <f>6/(957/90)</f>
        <v>0.5642633228840126</v>
      </c>
      <c r="H195" s="11">
        <v>10</v>
      </c>
      <c r="I195" s="11">
        <v>16</v>
      </c>
      <c r="J195" s="11"/>
      <c r="K195" s="11"/>
      <c r="L195" s="11"/>
      <c r="M195" s="11"/>
      <c r="N195" s="11">
        <v>1</v>
      </c>
      <c r="O195" s="11"/>
      <c r="P195" s="12">
        <f>LIV[[#This Row],[xPoints Av.]]*LIV[[#This Row],[Regularity]]</f>
        <v>3.2276645768025078</v>
      </c>
      <c r="Q195" s="11" t="s">
        <v>8</v>
      </c>
    </row>
    <row r="196" spans="1:17" ht="30" customHeight="1" x14ac:dyDescent="0.45">
      <c r="A196" s="11" t="s">
        <v>289</v>
      </c>
      <c r="B196" s="11" t="s">
        <v>84</v>
      </c>
      <c r="C19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4.5199999999999996</v>
      </c>
      <c r="D196" s="12">
        <f>(LIV[[#This Row],[60+Mins Last Season]]/LIV[[#This Row],[Possible 60+Mins Last Season]] * (38-MAX(GameRecord[GW]))/38) + (LIV[[#This Row],[60+Mins This Season]]/LIV[[#This Row],[Possible 60+Mins This Season]] * (MAX(GameRecord[GW]))/38)</f>
        <v>0.66666666666666663</v>
      </c>
      <c r="E196" s="12">
        <v>0.48</v>
      </c>
      <c r="F196" s="12">
        <v>0.2</v>
      </c>
      <c r="G196" s="12">
        <v>0.45918367346938777</v>
      </c>
      <c r="H196" s="18">
        <v>8</v>
      </c>
      <c r="I196" s="18">
        <v>12</v>
      </c>
      <c r="J196" s="11"/>
      <c r="K196" s="11"/>
      <c r="L196" s="11"/>
      <c r="M196" s="11"/>
      <c r="N196" s="11">
        <v>1</v>
      </c>
      <c r="O196" s="11"/>
      <c r="P196" s="12">
        <f>LIV[[#This Row],[xPoints Av.]]*LIV[[#This Row],[Regularity]]</f>
        <v>3.0133333333333328</v>
      </c>
      <c r="Q196" s="11" t="s">
        <v>8</v>
      </c>
    </row>
    <row r="197" spans="1:17" ht="30" customHeight="1" x14ac:dyDescent="0.45">
      <c r="A197" s="11" t="s">
        <v>280</v>
      </c>
      <c r="B197" s="11" t="s">
        <v>75</v>
      </c>
      <c r="C19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3.7341627001298141</v>
      </c>
      <c r="D197" s="12">
        <f>(LIV[[#This Row],[60+Mins Last Season]]/LIV[[#This Row],[Possible 60+Mins Last Season]] * (38-MAX(GameRecord[GW]))/38) + (LIV[[#This Row],[60+Mins This Season]]/LIV[[#This Row],[Possible 60+Mins This Season]] * (MAX(GameRecord[GW]))/38)</f>
        <v>0.7142857142857143</v>
      </c>
      <c r="E197" s="12">
        <v>0.2</v>
      </c>
      <c r="F197" s="12">
        <v>0.05</v>
      </c>
      <c r="G197" s="12">
        <v>0.58416270012981397</v>
      </c>
      <c r="H197" s="11">
        <v>25</v>
      </c>
      <c r="I197" s="11">
        <v>35</v>
      </c>
      <c r="J197" s="11"/>
      <c r="K197" s="11"/>
      <c r="L197" s="11"/>
      <c r="M197" s="11"/>
      <c r="N197" s="11">
        <v>1</v>
      </c>
      <c r="O197" s="11"/>
      <c r="P197" s="12">
        <f>LIV[[#This Row],[xPoints Av.]]*LIV[[#This Row],[Regularity]]</f>
        <v>2.667259071521296</v>
      </c>
      <c r="Q197" s="11" t="s">
        <v>8</v>
      </c>
    </row>
    <row r="198" spans="1:17" ht="30" customHeight="1" x14ac:dyDescent="0.45">
      <c r="A198" s="11" t="s">
        <v>279</v>
      </c>
      <c r="B198" s="11" t="s">
        <v>75</v>
      </c>
      <c r="C19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3.1908333333333334</v>
      </c>
      <c r="D198" s="12">
        <f>(LIV[[#This Row],[60+Mins Last Season]]/LIV[[#This Row],[Possible 60+Mins Last Season]] * (38-MAX(GameRecord[GW]))/38) + (LIV[[#This Row],[60+Mins This Season]]/LIV[[#This Row],[Possible 60+Mins This Season]] * (MAX(GameRecord[GW]))/38)</f>
        <v>0.77777777777777779</v>
      </c>
      <c r="E198" s="12">
        <v>0.05</v>
      </c>
      <c r="F198" s="12">
        <v>0.14000000000000001</v>
      </c>
      <c r="G198" s="12">
        <v>0.52083333333333337</v>
      </c>
      <c r="H198" s="11">
        <v>28</v>
      </c>
      <c r="I198" s="11">
        <v>36</v>
      </c>
      <c r="J198" s="11"/>
      <c r="K198" s="11"/>
      <c r="L198" s="11"/>
      <c r="M198" s="11"/>
      <c r="N198" s="11">
        <v>1</v>
      </c>
      <c r="O198" s="11"/>
      <c r="P198" s="12">
        <f>LIV[[#This Row],[xPoints Av.]]*LIV[[#This Row],[Regularity]]</f>
        <v>2.4817592592592592</v>
      </c>
      <c r="Q198" s="11" t="s">
        <v>8</v>
      </c>
    </row>
    <row r="199" spans="1:17" ht="30" customHeight="1" x14ac:dyDescent="0.45">
      <c r="A199" s="11" t="s">
        <v>288</v>
      </c>
      <c r="B199" s="11" t="s">
        <v>75</v>
      </c>
      <c r="C19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3.7132558139534884</v>
      </c>
      <c r="D199" s="12">
        <f>(LIV[[#This Row],[60+Mins Last Season]]/LIV[[#This Row],[Possible 60+Mins Last Season]] * (38-MAX(GameRecord[GW]))/38) + (LIV[[#This Row],[60+Mins This Season]]/LIV[[#This Row],[Possible 60+Mins This Season]] * (MAX(GameRecord[GW]))/38)</f>
        <v>0.5</v>
      </c>
      <c r="E199" s="12">
        <v>0.16</v>
      </c>
      <c r="F199" s="12">
        <v>0.13</v>
      </c>
      <c r="G199" s="12">
        <v>0.5232558139534883</v>
      </c>
      <c r="H199" s="18">
        <v>4</v>
      </c>
      <c r="I199" s="18">
        <v>8</v>
      </c>
      <c r="J199" s="11"/>
      <c r="K199" s="11"/>
      <c r="L199" s="11"/>
      <c r="M199" s="11"/>
      <c r="N199" s="11">
        <v>1</v>
      </c>
      <c r="O199" s="11"/>
      <c r="P199" s="12">
        <f>LIV[[#This Row],[xPoints Av.]]*LIV[[#This Row],[Regularity]]</f>
        <v>1.8566279069767442</v>
      </c>
      <c r="Q199" s="11" t="s">
        <v>8</v>
      </c>
    </row>
    <row r="200" spans="1:17" ht="30" customHeight="1" x14ac:dyDescent="0.45">
      <c r="A200" s="11" t="s">
        <v>282</v>
      </c>
      <c r="B200" s="11" t="s">
        <v>75</v>
      </c>
      <c r="C20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3.8359110350727121</v>
      </c>
      <c r="D200" s="12">
        <f>(LIV[[#This Row],[60+Mins Last Season]]/LIV[[#This Row],[Possible 60+Mins Last Season]] * (38-MAX(GameRecord[GW]))/38) + (LIV[[#This Row],[60+Mins This Season]]/LIV[[#This Row],[Possible 60+Mins This Season]] * (MAX(GameRecord[GW]))/38)</f>
        <v>0.4</v>
      </c>
      <c r="E200" s="12">
        <v>0.16</v>
      </c>
      <c r="F200" s="12">
        <v>0.14000000000000001</v>
      </c>
      <c r="G200" s="12">
        <v>0.61591103507271172</v>
      </c>
      <c r="H200" s="11">
        <v>12</v>
      </c>
      <c r="I200" s="11">
        <v>30</v>
      </c>
      <c r="J200" s="11"/>
      <c r="K200" s="11"/>
      <c r="L200" s="11"/>
      <c r="M200" s="11"/>
      <c r="N200" s="11">
        <v>1</v>
      </c>
      <c r="O200" s="11"/>
      <c r="P200" s="12">
        <f>LIV[[#This Row],[xPoints Av.]]*LIV[[#This Row],[Regularity]]</f>
        <v>1.5343644140290849</v>
      </c>
      <c r="Q200" s="11" t="s">
        <v>8</v>
      </c>
    </row>
    <row r="201" spans="1:17" ht="30" customHeight="1" x14ac:dyDescent="0.45">
      <c r="A201" s="11" t="s">
        <v>285</v>
      </c>
      <c r="B201" s="11" t="s">
        <v>75</v>
      </c>
      <c r="C20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3.0840282685512368</v>
      </c>
      <c r="D201" s="12">
        <f>(LIV[[#This Row],[60+Mins Last Season]]/LIV[[#This Row],[Possible 60+Mins Last Season]] * (38-MAX(GameRecord[GW]))/38) + (LIV[[#This Row],[60+Mins This Season]]/LIV[[#This Row],[Possible 60+Mins This Season]] * (MAX(GameRecord[GW]))/38)</f>
        <v>0.41666666666666669</v>
      </c>
      <c r="E201" s="12">
        <v>0.09</v>
      </c>
      <c r="F201" s="12">
        <v>7.0000000000000007E-2</v>
      </c>
      <c r="G201" s="12">
        <v>0.42402826855123676</v>
      </c>
      <c r="H201" s="18">
        <v>10</v>
      </c>
      <c r="I201" s="18">
        <v>24</v>
      </c>
      <c r="J201" s="11"/>
      <c r="K201" s="11"/>
      <c r="L201" s="11"/>
      <c r="M201" s="11"/>
      <c r="N201" s="11">
        <v>1</v>
      </c>
      <c r="O201" s="11"/>
      <c r="P201" s="12">
        <f>LIV[[#This Row],[xPoints Av.]]*LIV[[#This Row],[Regularity]]</f>
        <v>1.2850117785630153</v>
      </c>
      <c r="Q201" s="11" t="s">
        <v>8</v>
      </c>
    </row>
    <row r="202" spans="1:17" ht="30" customHeight="1" x14ac:dyDescent="0.45">
      <c r="A202" s="11" t="s">
        <v>274</v>
      </c>
      <c r="B202" s="11" t="s">
        <v>64</v>
      </c>
      <c r="C20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4.7275972540045768</v>
      </c>
      <c r="D202" s="12">
        <f>(LIV[[#This Row],[60+Mins Last Season]]/LIV[[#This Row],[Possible 60+Mins Last Season]] * (38-MAX(GameRecord[GW]))/38) + (LIV[[#This Row],[60+Mins This Season]]/LIV[[#This Row],[Possible 60+Mins This Season]] * (MAX(GameRecord[GW]))/38)</f>
        <v>0.23684210526315788</v>
      </c>
      <c r="E202" s="12">
        <v>7.0000000000000007E-2</v>
      </c>
      <c r="F202" s="12">
        <v>0.22</v>
      </c>
      <c r="G202" s="12">
        <v>0.41189931350114417</v>
      </c>
      <c r="H202" s="11">
        <v>9</v>
      </c>
      <c r="I202" s="11">
        <v>38</v>
      </c>
      <c r="J202" s="11"/>
      <c r="K202" s="11"/>
      <c r="L202" s="11"/>
      <c r="M202" s="11"/>
      <c r="N202" s="11">
        <v>1</v>
      </c>
      <c r="O202" s="11"/>
      <c r="P202" s="12">
        <f>LIV[[#This Row],[xPoints Av.]]*LIV[[#This Row],[Regularity]]</f>
        <v>1.1196940864747682</v>
      </c>
      <c r="Q202" s="11" t="s">
        <v>8</v>
      </c>
    </row>
    <row r="203" spans="1:17" ht="30" customHeight="1" x14ac:dyDescent="0.45">
      <c r="A203" s="11" t="s">
        <v>275</v>
      </c>
      <c r="B203" s="11" t="s">
        <v>64</v>
      </c>
      <c r="C20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3.5745454545454547</v>
      </c>
      <c r="D203" s="12">
        <f>(LIV[[#This Row],[60+Mins Last Season]]/LIV[[#This Row],[Possible 60+Mins Last Season]] * (38-MAX(GameRecord[GW]))/38) + (LIV[[#This Row],[60+Mins This Season]]/LIV[[#This Row],[Possible 60+Mins This Season]] * (MAX(GameRecord[GW]))/38)</f>
        <v>0.28947368421052633</v>
      </c>
      <c r="E203" s="12">
        <v>0.02</v>
      </c>
      <c r="F203" s="12">
        <v>0</v>
      </c>
      <c r="G203" s="12">
        <v>0.36363636363636365</v>
      </c>
      <c r="H203" s="11">
        <v>11</v>
      </c>
      <c r="I203" s="11">
        <v>38</v>
      </c>
      <c r="J203" s="11"/>
      <c r="K203" s="11"/>
      <c r="L203" s="11"/>
      <c r="M203" s="11"/>
      <c r="N203" s="11">
        <v>1</v>
      </c>
      <c r="O203" s="11"/>
      <c r="P203" s="12">
        <f>LIV[[#This Row],[xPoints Av.]]*LIV[[#This Row],[Regularity]]</f>
        <v>1.0347368421052632</v>
      </c>
      <c r="Q203" s="11" t="s">
        <v>8</v>
      </c>
    </row>
    <row r="204" spans="1:17" ht="30" customHeight="1" x14ac:dyDescent="0.45">
      <c r="A204" s="11" t="s">
        <v>286</v>
      </c>
      <c r="B204" s="11" t="s">
        <v>75</v>
      </c>
      <c r="C20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3.3165402843601894</v>
      </c>
      <c r="D204" s="12">
        <f>(LIV[[#This Row],[60+Mins Last Season]]/LIV[[#This Row],[Possible 60+Mins Last Season]] * (38-MAX(GameRecord[GW]))/38) + (LIV[[#This Row],[60+Mins This Season]]/LIV[[#This Row],[Possible 60+Mins This Season]] * (MAX(GameRecord[GW]))/38)</f>
        <v>0.21052631578947367</v>
      </c>
      <c r="E204" s="12">
        <v>0.04</v>
      </c>
      <c r="F204" s="12">
        <v>0.23</v>
      </c>
      <c r="G204" s="12">
        <v>0.42654028436018954</v>
      </c>
      <c r="H204" s="18">
        <v>8</v>
      </c>
      <c r="I204" s="18">
        <v>38</v>
      </c>
      <c r="J204" s="11"/>
      <c r="K204" s="11"/>
      <c r="L204" s="11"/>
      <c r="M204" s="11"/>
      <c r="N204" s="11">
        <v>1</v>
      </c>
      <c r="O204" s="11"/>
      <c r="P204" s="12">
        <f>LIV[[#This Row],[xPoints Av.]]*LIV[[#This Row],[Regularity]]</f>
        <v>0.6982190072337241</v>
      </c>
      <c r="Q204" s="11" t="s">
        <v>8</v>
      </c>
    </row>
    <row r="205" spans="1:17" ht="30" customHeight="1" x14ac:dyDescent="0.45">
      <c r="A205" s="20" t="s">
        <v>284</v>
      </c>
      <c r="B205" s="11" t="s">
        <v>75</v>
      </c>
      <c r="C20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3.4974903474903476</v>
      </c>
      <c r="D205" s="12">
        <f>(LIV[[#This Row],[60+Mins Last Season]]/LIV[[#This Row],[Possible 60+Mins Last Season]] * (38-MAX(GameRecord[GW]))/38) + (LIV[[#This Row],[60+Mins This Season]]/LIV[[#This Row],[Possible 60+Mins This Season]] * (MAX(GameRecord[GW]))/38)</f>
        <v>0.15789473684210525</v>
      </c>
      <c r="E205" s="12">
        <v>0.14000000000000001</v>
      </c>
      <c r="F205" s="12">
        <v>0.15</v>
      </c>
      <c r="G205" s="12">
        <v>0.34749034749034752</v>
      </c>
      <c r="H205" s="11">
        <v>6</v>
      </c>
      <c r="I205" s="11">
        <v>38</v>
      </c>
      <c r="J205" s="11"/>
      <c r="K205" s="11"/>
      <c r="L205" s="11"/>
      <c r="M205" s="11"/>
      <c r="N205" s="11">
        <v>1</v>
      </c>
      <c r="O205" s="11"/>
      <c r="P205" s="12">
        <f>LIV[[#This Row],[xPoints Av.]]*LIV[[#This Row],[Regularity]]</f>
        <v>0.55223531802479164</v>
      </c>
      <c r="Q205" s="11" t="s">
        <v>8</v>
      </c>
    </row>
    <row r="206" spans="1:17" ht="30" customHeight="1" x14ac:dyDescent="0.45">
      <c r="A206" s="11" t="s">
        <v>287</v>
      </c>
      <c r="B206" s="11" t="s">
        <v>75</v>
      </c>
      <c r="C20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7.83</v>
      </c>
      <c r="D206" s="12">
        <f>(LIV[[#This Row],[60+Mins Last Season]]/LIV[[#This Row],[Possible 60+Mins Last Season]] * (38-MAX(GameRecord[GW]))/38) + (LIV[[#This Row],[60+Mins This Season]]/LIV[[#This Row],[Possible 60+Mins This Season]] * (MAX(GameRecord[GW]))/38)</f>
        <v>2.7027027027027032E-2</v>
      </c>
      <c r="E206" s="12">
        <v>0.98</v>
      </c>
      <c r="F206" s="12">
        <v>0.31</v>
      </c>
      <c r="G206" s="12">
        <v>0</v>
      </c>
      <c r="H206" s="18">
        <v>1</v>
      </c>
      <c r="I206" s="18">
        <v>37</v>
      </c>
      <c r="J206" s="11"/>
      <c r="K206" s="11"/>
      <c r="L206" s="11"/>
      <c r="M206" s="11"/>
      <c r="N206" s="11">
        <v>1</v>
      </c>
      <c r="O206" s="11"/>
      <c r="P206" s="12">
        <f>LIV[[#This Row],[xPoints Av.]]*LIV[[#This Row],[Regularity]]</f>
        <v>0.21162162162162165</v>
      </c>
      <c r="Q206" s="11" t="s">
        <v>8</v>
      </c>
    </row>
    <row r="208" spans="1:17" ht="30" customHeight="1" x14ac:dyDescent="0.35">
      <c r="A208" s="24" t="s">
        <v>290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</row>
    <row r="209" spans="1:17" ht="30" customHeight="1" x14ac:dyDescent="0.35">
      <c r="A209" s="2" t="s">
        <v>52</v>
      </c>
      <c r="B209" s="2" t="s">
        <v>86</v>
      </c>
      <c r="C209" s="2" t="s">
        <v>59</v>
      </c>
      <c r="D209" s="2" t="s">
        <v>54</v>
      </c>
      <c r="E209" s="2" t="s">
        <v>55</v>
      </c>
      <c r="F209" s="2" t="s">
        <v>56</v>
      </c>
      <c r="G209" s="2" t="s">
        <v>65</v>
      </c>
      <c r="H209" s="2" t="s">
        <v>88</v>
      </c>
      <c r="I209" s="2" t="s">
        <v>89</v>
      </c>
      <c r="J209" s="2" t="s">
        <v>57</v>
      </c>
      <c r="K209" s="2" t="s">
        <v>58</v>
      </c>
      <c r="L209" s="2" t="s">
        <v>66</v>
      </c>
      <c r="M209" s="2" t="s">
        <v>87</v>
      </c>
      <c r="N209" s="2" t="s">
        <v>90</v>
      </c>
      <c r="O209" s="2" t="s">
        <v>67</v>
      </c>
      <c r="P209" s="2" t="s">
        <v>53</v>
      </c>
      <c r="Q209" s="2" t="s">
        <v>0</v>
      </c>
    </row>
    <row r="210" spans="1:17" ht="30" customHeight="1" x14ac:dyDescent="0.45">
      <c r="A210" s="11" t="s">
        <v>294</v>
      </c>
      <c r="B210" s="11" t="s">
        <v>64</v>
      </c>
      <c r="C21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5.4096157421753954</v>
      </c>
      <c r="D210" s="12">
        <f>(MCI[[#This Row],[60+Mins Last Season]]/MCI[[#This Row],[Possible 60+Mins Last Season]] * (38-MAX(GameRecord[GW]))/38) + (MCI[[#This Row],[60+Mins This Season]]/MCI[[#This Row],[Possible 60+Mins This Season]] * (MAX(GameRecord[GW]))/38)</f>
        <v>0.94736842105263153</v>
      </c>
      <c r="E210" s="12">
        <v>0.13</v>
      </c>
      <c r="F210" s="12">
        <v>0.17</v>
      </c>
      <c r="G210" s="12">
        <v>0.52990393554384885</v>
      </c>
      <c r="H210" s="11">
        <v>36</v>
      </c>
      <c r="I210" s="11">
        <v>38</v>
      </c>
      <c r="J210" s="11"/>
      <c r="K210" s="11"/>
      <c r="L210" s="11"/>
      <c r="M210" s="11"/>
      <c r="N210" s="11">
        <v>1</v>
      </c>
      <c r="O210" s="11"/>
      <c r="P210" s="12">
        <f>MCI[[#This Row],[xPoints Av.]]*MCI[[#This Row],[Regularity]]</f>
        <v>5.1248991241661637</v>
      </c>
      <c r="Q210" s="11" t="s">
        <v>7</v>
      </c>
    </row>
    <row r="211" spans="1:17" ht="30" customHeight="1" x14ac:dyDescent="0.45">
      <c r="A211" s="11" t="s">
        <v>295</v>
      </c>
      <c r="B211" s="11" t="s">
        <v>64</v>
      </c>
      <c r="C21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5.1897526501766791</v>
      </c>
      <c r="D211" s="12">
        <f>(MCI[[#This Row],[60+Mins Last Season]]/MCI[[#This Row],[Possible 60+Mins Last Season]] * (38-MAX(GameRecord[GW]))/38) + (MCI[[#This Row],[60+Mins This Season]]/MCI[[#This Row],[Possible 60+Mins This Season]] * (MAX(GameRecord[GW]))/38)</f>
        <v>0.83783783783783783</v>
      </c>
      <c r="E211" s="12">
        <v>0.14000000000000001</v>
      </c>
      <c r="F211" s="12">
        <v>0.02</v>
      </c>
      <c r="G211" s="12">
        <v>0.57243816254416968</v>
      </c>
      <c r="H211" s="11">
        <v>31</v>
      </c>
      <c r="I211" s="11">
        <v>37</v>
      </c>
      <c r="J211" s="11"/>
      <c r="K211" s="11"/>
      <c r="L211" s="11"/>
      <c r="M211" s="11"/>
      <c r="N211" s="11">
        <v>1</v>
      </c>
      <c r="O211" s="11"/>
      <c r="P211" s="12">
        <f>MCI[[#This Row],[xPoints Av.]]*MCI[[#This Row],[Regularity]]</f>
        <v>4.348171139337218</v>
      </c>
      <c r="Q211" s="11" t="s">
        <v>7</v>
      </c>
    </row>
    <row r="212" spans="1:17" ht="30" customHeight="1" x14ac:dyDescent="0.45">
      <c r="A212" s="11" t="s">
        <v>296</v>
      </c>
      <c r="B212" s="11" t="s">
        <v>64</v>
      </c>
      <c r="C21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4.999125364431487</v>
      </c>
      <c r="D212" s="12">
        <f>(MCI[[#This Row],[60+Mins Last Season]]/MCI[[#This Row],[Possible 60+Mins Last Season]] * (38-MAX(GameRecord[GW]))/38) + (MCI[[#This Row],[60+Mins This Season]]/MCI[[#This Row],[Possible 60+Mins This Season]] * (MAX(GameRecord[GW]))/38)</f>
        <v>0.83870967741935487</v>
      </c>
      <c r="E212" s="12">
        <v>0.09</v>
      </c>
      <c r="F212" s="12">
        <v>0.12</v>
      </c>
      <c r="G212" s="12">
        <v>0.52478134110787178</v>
      </c>
      <c r="H212" s="11">
        <v>26</v>
      </c>
      <c r="I212" s="11">
        <v>31</v>
      </c>
      <c r="J212" s="11"/>
      <c r="K212" s="11"/>
      <c r="L212" s="11"/>
      <c r="M212" s="11"/>
      <c r="N212" s="11">
        <v>1</v>
      </c>
      <c r="O212" s="11"/>
      <c r="P212" s="12">
        <f>MCI[[#This Row],[xPoints Av.]]*MCI[[#This Row],[Regularity]]</f>
        <v>4.1928148217812478</v>
      </c>
      <c r="Q212" s="11" t="s">
        <v>7</v>
      </c>
    </row>
    <row r="213" spans="1:17" ht="30" customHeight="1" x14ac:dyDescent="0.45">
      <c r="A213" s="11" t="s">
        <v>291</v>
      </c>
      <c r="B213" s="11" t="s">
        <v>62</v>
      </c>
      <c r="C21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4.1621621621621623</v>
      </c>
      <c r="D213" s="12">
        <f>(MCI[[#This Row],[60+Mins Last Season]]/MCI[[#This Row],[Possible 60+Mins Last Season]] * (38-MAX(GameRecord[GW]))/38) + (MCI[[#This Row],[60+Mins This Season]]/MCI[[#This Row],[Possible 60+Mins This Season]] * (MAX(GameRecord[GW]))/38)</f>
        <v>0.97368421052631582</v>
      </c>
      <c r="E213" s="12">
        <v>0</v>
      </c>
      <c r="F213" s="12">
        <v>0</v>
      </c>
      <c r="G213" s="12">
        <v>0.54054054054054057</v>
      </c>
      <c r="H213" s="11">
        <v>37</v>
      </c>
      <c r="I213" s="11">
        <v>38</v>
      </c>
      <c r="J213" s="11"/>
      <c r="K213" s="11"/>
      <c r="L213" s="11"/>
      <c r="M213" s="11"/>
      <c r="N213" s="11">
        <v>1</v>
      </c>
      <c r="O213" s="11"/>
      <c r="P213" s="12">
        <f>MCI[[#This Row],[xPoints Av.]]*MCI[[#This Row],[Regularity]]</f>
        <v>4.052631578947369</v>
      </c>
      <c r="Q213" s="11" t="s">
        <v>7</v>
      </c>
    </row>
    <row r="214" spans="1:17" ht="30" customHeight="1" x14ac:dyDescent="0.45">
      <c r="A214" s="11" t="s">
        <v>301</v>
      </c>
      <c r="B214" s="11" t="s">
        <v>75</v>
      </c>
      <c r="C21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5.1127868852459013</v>
      </c>
      <c r="D214" s="12">
        <f>(MCI[[#This Row],[60+Mins Last Season]]/MCI[[#This Row],[Possible 60+Mins Last Season]] * (38-MAX(GameRecord[GW]))/38) + (MCI[[#This Row],[60+Mins This Season]]/MCI[[#This Row],[Possible 60+Mins This Season]] * (MAX(GameRecord[GW]))/38)</f>
        <v>0.76666666666666672</v>
      </c>
      <c r="E214" s="12">
        <v>0.24</v>
      </c>
      <c r="F214" s="12">
        <v>0.46</v>
      </c>
      <c r="G214" s="12">
        <v>0.53278688524590168</v>
      </c>
      <c r="H214" s="11">
        <v>23</v>
      </c>
      <c r="I214" s="11">
        <v>30</v>
      </c>
      <c r="J214" s="11"/>
      <c r="K214" s="11"/>
      <c r="L214" s="11"/>
      <c r="M214" s="11"/>
      <c r="N214" s="11">
        <v>1</v>
      </c>
      <c r="O214" s="11"/>
      <c r="P214" s="12">
        <f>MCI[[#This Row],[xPoints Av.]]*MCI[[#This Row],[Regularity]]</f>
        <v>3.9198032786885246</v>
      </c>
      <c r="Q214" s="11" t="s">
        <v>7</v>
      </c>
    </row>
    <row r="215" spans="1:17" ht="30" customHeight="1" x14ac:dyDescent="0.45">
      <c r="A215" s="11" t="s">
        <v>302</v>
      </c>
      <c r="B215" s="11" t="s">
        <v>75</v>
      </c>
      <c r="C21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6.5316265912305518</v>
      </c>
      <c r="D215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5" s="12">
        <v>0.67</v>
      </c>
      <c r="F215" s="12">
        <v>0.21</v>
      </c>
      <c r="G215" s="12">
        <v>0.55162659123055158</v>
      </c>
      <c r="H215" s="11">
        <v>22</v>
      </c>
      <c r="I215" s="11">
        <v>38</v>
      </c>
      <c r="J215" s="11"/>
      <c r="K215" s="11"/>
      <c r="L215" s="11"/>
      <c r="M215" s="11"/>
      <c r="N215" s="11">
        <v>1</v>
      </c>
      <c r="O215" s="11"/>
      <c r="P215" s="12">
        <f>MCI[[#This Row],[xPoints Av.]]*MCI[[#This Row],[Regularity]]</f>
        <v>3.7814680265018987</v>
      </c>
      <c r="Q215" s="11" t="s">
        <v>7</v>
      </c>
    </row>
    <row r="216" spans="1:17" ht="30" customHeight="1" x14ac:dyDescent="0.45">
      <c r="A216" s="11" t="s">
        <v>304</v>
      </c>
      <c r="B216" s="11" t="s">
        <v>75</v>
      </c>
      <c r="C21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5.3705882352941181</v>
      </c>
      <c r="D216" s="12">
        <f>(MCI[[#This Row],[60+Mins Last Season]]/MCI[[#This Row],[Possible 60+Mins Last Season]] * (38-MAX(GameRecord[GW]))/38) + (MCI[[#This Row],[60+Mins This Season]]/MCI[[#This Row],[Possible 60+Mins This Season]] * (MAX(GameRecord[GW]))/38)</f>
        <v>0.67647058823529416</v>
      </c>
      <c r="E216" s="12">
        <v>0.39</v>
      </c>
      <c r="F216" s="12">
        <v>0.28999999999999998</v>
      </c>
      <c r="G216" s="12">
        <v>0.55058823529411771</v>
      </c>
      <c r="H216" s="11">
        <v>23</v>
      </c>
      <c r="I216" s="11">
        <v>34</v>
      </c>
      <c r="J216" s="11"/>
      <c r="K216" s="11"/>
      <c r="L216" s="11"/>
      <c r="M216" s="11"/>
      <c r="N216" s="11">
        <v>1</v>
      </c>
      <c r="O216" s="11"/>
      <c r="P216" s="12">
        <f>MCI[[#This Row],[xPoints Av.]]*MCI[[#This Row],[Regularity]]</f>
        <v>3.6330449826989626</v>
      </c>
      <c r="Q216" s="11" t="s">
        <v>7</v>
      </c>
    </row>
    <row r="217" spans="1:17" ht="30" customHeight="1" x14ac:dyDescent="0.45">
      <c r="A217" s="11" t="s">
        <v>303</v>
      </c>
      <c r="B217" s="11" t="s">
        <v>75</v>
      </c>
      <c r="C217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4.334201680672269</v>
      </c>
      <c r="D217" s="12">
        <f>(MCI[[#This Row],[60+Mins Last Season]]/MCI[[#This Row],[Possible 60+Mins Last Season]] * (38-MAX(GameRecord[GW]))/38) + (MCI[[#This Row],[60+Mins This Season]]/MCI[[#This Row],[Possible 60+Mins This Season]] * (MAX(GameRecord[GW]))/38)</f>
        <v>0.81578947368421051</v>
      </c>
      <c r="E217" s="12">
        <v>0.24</v>
      </c>
      <c r="F217" s="12">
        <v>0.21</v>
      </c>
      <c r="G217" s="12">
        <v>0.50420168067226889</v>
      </c>
      <c r="H217" s="11">
        <v>31</v>
      </c>
      <c r="I217" s="11">
        <v>38</v>
      </c>
      <c r="J217" s="11"/>
      <c r="K217" s="11"/>
      <c r="L217" s="11"/>
      <c r="M217" s="11"/>
      <c r="N217" s="11">
        <v>1</v>
      </c>
      <c r="O217" s="11"/>
      <c r="P217" s="12">
        <f>MCI[[#This Row],[xPoints Av.]]*MCI[[#This Row],[Regularity]]</f>
        <v>3.5357961079168509</v>
      </c>
      <c r="Q217" s="11" t="s">
        <v>7</v>
      </c>
    </row>
    <row r="218" spans="1:17" ht="30" customHeight="1" x14ac:dyDescent="0.45">
      <c r="A218" s="11" t="s">
        <v>307</v>
      </c>
      <c r="B218" s="11" t="s">
        <v>75</v>
      </c>
      <c r="C218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5.7207131280388976</v>
      </c>
      <c r="D218" s="12">
        <f>(MCI[[#This Row],[60+Mins Last Season]]/MCI[[#This Row],[Possible 60+Mins Last Season]] * (38-MAX(GameRecord[GW]))/38) + (MCI[[#This Row],[60+Mins This Season]]/MCI[[#This Row],[Possible 60+Mins This Season]] * (MAX(GameRecord[GW]))/38)</f>
        <v>0.55882352941176472</v>
      </c>
      <c r="E218" s="12">
        <v>0.47</v>
      </c>
      <c r="F218" s="12">
        <v>0.23</v>
      </c>
      <c r="G218" s="12">
        <v>0.68071312803889794</v>
      </c>
      <c r="H218" s="11">
        <v>19</v>
      </c>
      <c r="I218" s="11">
        <v>34</v>
      </c>
      <c r="J218" s="11"/>
      <c r="K218" s="11"/>
      <c r="L218" s="11"/>
      <c r="M218" s="11"/>
      <c r="N218" s="11">
        <v>1</v>
      </c>
      <c r="O218" s="11"/>
      <c r="P218" s="12">
        <f>MCI[[#This Row],[xPoints Av.]]*MCI[[#This Row],[Regularity]]</f>
        <v>3.1968691009629135</v>
      </c>
      <c r="Q218" s="11" t="s">
        <v>7</v>
      </c>
    </row>
    <row r="219" spans="1:17" ht="30" customHeight="1" x14ac:dyDescent="0.45">
      <c r="A219" s="11" t="s">
        <v>308</v>
      </c>
      <c r="B219" s="11" t="s">
        <v>75</v>
      </c>
      <c r="C219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4.756806282722513</v>
      </c>
      <c r="D219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9" s="12">
        <v>0.26</v>
      </c>
      <c r="F219" s="12">
        <v>0.25</v>
      </c>
      <c r="G219" s="12">
        <v>0.70680628272251311</v>
      </c>
      <c r="H219" s="11">
        <v>22</v>
      </c>
      <c r="I219" s="11">
        <v>38</v>
      </c>
      <c r="J219" s="11"/>
      <c r="K219" s="11"/>
      <c r="L219" s="11"/>
      <c r="M219" s="11"/>
      <c r="N219" s="11">
        <v>1</v>
      </c>
      <c r="O219" s="11"/>
      <c r="P219" s="12">
        <f>MCI[[#This Row],[xPoints Av.]]*MCI[[#This Row],[Regularity]]</f>
        <v>2.7539404794709288</v>
      </c>
      <c r="Q219" s="11" t="s">
        <v>7</v>
      </c>
    </row>
    <row r="220" spans="1:17" ht="30" customHeight="1" x14ac:dyDescent="0.45">
      <c r="A220" s="11" t="s">
        <v>297</v>
      </c>
      <c r="B220" s="11" t="s">
        <v>64</v>
      </c>
      <c r="C22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4.3212820512820507</v>
      </c>
      <c r="D220" s="12">
        <f>(MCI[[#This Row],[60+Mins Last Season]]/MCI[[#This Row],[Possible 60+Mins Last Season]] * (38-MAX(GameRecord[GW]))/38) + (MCI[[#This Row],[60+Mins This Season]]/MCI[[#This Row],[Possible 60+Mins This Season]] * (MAX(GameRecord[GW]))/38)</f>
        <v>0.61290322580645162</v>
      </c>
      <c r="E220" s="12">
        <v>0.01</v>
      </c>
      <c r="F220" s="12">
        <v>7.0000000000000007E-2</v>
      </c>
      <c r="G220" s="12">
        <v>0.51282051282051277</v>
      </c>
      <c r="H220" s="11">
        <v>19</v>
      </c>
      <c r="I220" s="11">
        <v>31</v>
      </c>
      <c r="J220" s="11"/>
      <c r="K220" s="11"/>
      <c r="L220" s="11"/>
      <c r="M220" s="11"/>
      <c r="N220" s="11">
        <v>1</v>
      </c>
      <c r="O220" s="11"/>
      <c r="P220" s="12">
        <f>MCI[[#This Row],[xPoints Av.]]*MCI[[#This Row],[Regularity]]</f>
        <v>2.6485277088502892</v>
      </c>
      <c r="Q220" s="11" t="s">
        <v>7</v>
      </c>
    </row>
    <row r="221" spans="1:17" ht="30" customHeight="1" x14ac:dyDescent="0.45">
      <c r="A221" s="11" t="s">
        <v>306</v>
      </c>
      <c r="B221" s="11" t="s">
        <v>75</v>
      </c>
      <c r="C22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3.0805131761442439</v>
      </c>
      <c r="D221" s="12">
        <f>(MCI[[#This Row],[60+Mins Last Season]]/MCI[[#This Row],[Possible 60+Mins Last Season]] * (38-MAX(GameRecord[GW]))/38) + (MCI[[#This Row],[60+Mins This Season]]/MCI[[#This Row],[Possible 60+Mins This Season]] * (MAX(GameRecord[GW]))/38)</f>
        <v>0.84210526315789469</v>
      </c>
      <c r="E221" s="12">
        <v>0.08</v>
      </c>
      <c r="F221" s="12">
        <v>0.05</v>
      </c>
      <c r="G221" s="12">
        <v>0.53051317614424409</v>
      </c>
      <c r="H221" s="11">
        <v>32</v>
      </c>
      <c r="I221" s="11">
        <v>38</v>
      </c>
      <c r="J221" s="11"/>
      <c r="K221" s="11"/>
      <c r="L221" s="11"/>
      <c r="M221" s="11"/>
      <c r="N221" s="11">
        <v>1</v>
      </c>
      <c r="O221" s="11"/>
      <c r="P221" s="12">
        <f>MCI[[#This Row],[xPoints Av.]]*MCI[[#This Row],[Regularity]]</f>
        <v>2.5941163588583107</v>
      </c>
      <c r="Q221" s="11" t="s">
        <v>7</v>
      </c>
    </row>
    <row r="222" spans="1:17" ht="30" customHeight="1" x14ac:dyDescent="0.45">
      <c r="A222" s="11" t="s">
        <v>309</v>
      </c>
      <c r="B222" s="11" t="s">
        <v>84</v>
      </c>
      <c r="C22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4.76</v>
      </c>
      <c r="D222" s="12">
        <f>(MCI[[#This Row],[60+Mins Last Season]]/MCI[[#This Row],[Possible 60+Mins Last Season]] * (38-MAX(GameRecord[GW]))/38) + (MCI[[#This Row],[60+Mins This Season]]/MCI[[#This Row],[Possible 60+Mins This Season]] * (MAX(GameRecord[GW]))/38)</f>
        <v>0.52631578947368418</v>
      </c>
      <c r="E222" s="12">
        <v>0.48</v>
      </c>
      <c r="F222" s="12">
        <v>0.28000000000000003</v>
      </c>
      <c r="G222" s="12">
        <v>0.52912880812399787</v>
      </c>
      <c r="H222" s="18">
        <v>20</v>
      </c>
      <c r="I222" s="18">
        <v>38</v>
      </c>
      <c r="J222" s="11"/>
      <c r="K222" s="11"/>
      <c r="L222" s="11"/>
      <c r="M222" s="11"/>
      <c r="N222" s="11">
        <v>1</v>
      </c>
      <c r="O222" s="11"/>
      <c r="P222" s="12">
        <f>MCI[[#This Row],[xPoints Av.]]*MCI[[#This Row],[Regularity]]</f>
        <v>2.5052631578947366</v>
      </c>
      <c r="Q222" s="11" t="s">
        <v>7</v>
      </c>
    </row>
    <row r="223" spans="1:17" ht="30" customHeight="1" x14ac:dyDescent="0.45">
      <c r="A223" s="11" t="s">
        <v>305</v>
      </c>
      <c r="B223" s="11" t="s">
        <v>75</v>
      </c>
      <c r="C22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6.2442424242424241</v>
      </c>
      <c r="D223" s="12">
        <f>(MCI[[#This Row],[60+Mins Last Season]]/MCI[[#This Row],[Possible 60+Mins Last Season]] * (38-MAX(GameRecord[GW]))/38) + (MCI[[#This Row],[60+Mins This Season]]/MCI[[#This Row],[Possible 60+Mins This Season]] * (MAX(GameRecord[GW]))/38)</f>
        <v>0.3783783783783784</v>
      </c>
      <c r="E223" s="12">
        <v>0.62</v>
      </c>
      <c r="F223" s="12">
        <v>0.24</v>
      </c>
      <c r="G223" s="12">
        <v>0.42424242424242425</v>
      </c>
      <c r="H223" s="11">
        <v>14</v>
      </c>
      <c r="I223" s="11">
        <v>37</v>
      </c>
      <c r="J223" s="11"/>
      <c r="K223" s="11"/>
      <c r="L223" s="11"/>
      <c r="M223" s="11"/>
      <c r="N223" s="11">
        <v>1</v>
      </c>
      <c r="O223" s="11"/>
      <c r="P223" s="12">
        <f>MCI[[#This Row],[xPoints Av.]]*MCI[[#This Row],[Regularity]]</f>
        <v>2.3626863226863226</v>
      </c>
      <c r="Q223" s="11" t="s">
        <v>7</v>
      </c>
    </row>
    <row r="224" spans="1:17" ht="30" customHeight="1" x14ac:dyDescent="0.45">
      <c r="A224" s="11" t="s">
        <v>298</v>
      </c>
      <c r="B224" s="11" t="s">
        <v>64</v>
      </c>
      <c r="C22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5.5306266786034017</v>
      </c>
      <c r="D224" s="12">
        <f>(MCI[[#This Row],[60+Mins Last Season]]/MCI[[#This Row],[Possible 60+Mins Last Season]] * (38-MAX(GameRecord[GW]))/38) + (MCI[[#This Row],[60+Mins This Season]]/MCI[[#This Row],[Possible 60+Mins This Season]] * (MAX(GameRecord[GW]))/38)</f>
        <v>0.35294117647058826</v>
      </c>
      <c r="E224" s="12">
        <v>0.1</v>
      </c>
      <c r="F224" s="12">
        <v>0.01</v>
      </c>
      <c r="G224" s="12">
        <v>0.72515666965085046</v>
      </c>
      <c r="H224" s="11">
        <v>12</v>
      </c>
      <c r="I224" s="11">
        <v>34</v>
      </c>
      <c r="J224" s="11"/>
      <c r="K224" s="11"/>
      <c r="L224" s="11"/>
      <c r="M224" s="11"/>
      <c r="N224" s="11">
        <v>1</v>
      </c>
      <c r="O224" s="11"/>
      <c r="P224" s="12">
        <f>MCI[[#This Row],[xPoints Av.]]*MCI[[#This Row],[Regularity]]</f>
        <v>1.9519858865659065</v>
      </c>
      <c r="Q224" s="11" t="s">
        <v>7</v>
      </c>
    </row>
    <row r="225" spans="1:17" ht="30" customHeight="1" x14ac:dyDescent="0.45">
      <c r="A225" s="11" t="s">
        <v>299</v>
      </c>
      <c r="B225" s="11" t="s">
        <v>64</v>
      </c>
      <c r="C22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4.564137931034483</v>
      </c>
      <c r="D225" s="12">
        <f>(MCI[[#This Row],[60+Mins Last Season]]/MCI[[#This Row],[Possible 60+Mins Last Season]] * (38-MAX(GameRecord[GW]))/38) + (MCI[[#This Row],[60+Mins This Season]]/MCI[[#This Row],[Possible 60+Mins This Season]] * (MAX(GameRecord[GW]))/38)</f>
        <v>0.35714285714285715</v>
      </c>
      <c r="E225" s="12">
        <v>0.04</v>
      </c>
      <c r="F225" s="12">
        <v>0.2</v>
      </c>
      <c r="G225" s="12">
        <v>0.43103448275862072</v>
      </c>
      <c r="H225" s="11">
        <v>10</v>
      </c>
      <c r="I225" s="11">
        <v>28</v>
      </c>
      <c r="J225" s="11"/>
      <c r="K225" s="11"/>
      <c r="L225" s="11"/>
      <c r="M225" s="11"/>
      <c r="N225" s="11">
        <v>1</v>
      </c>
      <c r="O225" s="11"/>
      <c r="P225" s="12">
        <f>MCI[[#This Row],[xPoints Av.]]*MCI[[#This Row],[Regularity]]</f>
        <v>1.630049261083744</v>
      </c>
      <c r="Q225" s="11" t="s">
        <v>7</v>
      </c>
    </row>
    <row r="226" spans="1:17" ht="30" customHeight="1" x14ac:dyDescent="0.45">
      <c r="A226" s="11" t="s">
        <v>300</v>
      </c>
      <c r="B226" s="11" t="s">
        <v>64</v>
      </c>
      <c r="C22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4.9186507072905332</v>
      </c>
      <c r="D226" s="12">
        <f>(MCI[[#This Row],[60+Mins Last Season]]/MCI[[#This Row],[Possible 60+Mins Last Season]] * (38-MAX(GameRecord[GW]))/38) + (MCI[[#This Row],[60+Mins This Season]]/MCI[[#This Row],[Possible 60+Mins This Season]] * (MAX(GameRecord[GW]))/38)</f>
        <v>0.21052631578947367</v>
      </c>
      <c r="E226" s="12">
        <v>0.13</v>
      </c>
      <c r="F226" s="12">
        <v>0.06</v>
      </c>
      <c r="G226" s="12">
        <v>0.48966267682263331</v>
      </c>
      <c r="H226" s="11">
        <v>8</v>
      </c>
      <c r="I226" s="11">
        <v>38</v>
      </c>
      <c r="J226" s="11"/>
      <c r="K226" s="11"/>
      <c r="L226" s="11"/>
      <c r="M226" s="11"/>
      <c r="N226" s="11">
        <v>1</v>
      </c>
      <c r="O226" s="11"/>
      <c r="P226" s="12">
        <f>MCI[[#This Row],[xPoints Av.]]*MCI[[#This Row],[Regularity]]</f>
        <v>1.0355054120611649</v>
      </c>
      <c r="Q226" s="11" t="s">
        <v>7</v>
      </c>
    </row>
    <row r="228" spans="1:17" ht="30" customHeight="1" x14ac:dyDescent="0.35">
      <c r="A228" s="24" t="s">
        <v>310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</row>
    <row r="229" spans="1:17" ht="30" customHeight="1" x14ac:dyDescent="0.35">
      <c r="A229" s="2" t="s">
        <v>52</v>
      </c>
      <c r="B229" s="2" t="s">
        <v>86</v>
      </c>
      <c r="C229" s="2" t="s">
        <v>59</v>
      </c>
      <c r="D229" s="2" t="s">
        <v>54</v>
      </c>
      <c r="E229" s="2" t="s">
        <v>55</v>
      </c>
      <c r="F229" s="2" t="s">
        <v>56</v>
      </c>
      <c r="G229" s="2" t="s">
        <v>65</v>
      </c>
      <c r="H229" s="2" t="s">
        <v>88</v>
      </c>
      <c r="I229" s="2" t="s">
        <v>89</v>
      </c>
      <c r="J229" s="2" t="s">
        <v>57</v>
      </c>
      <c r="K229" s="2" t="s">
        <v>58</v>
      </c>
      <c r="L229" s="2" t="s">
        <v>66</v>
      </c>
      <c r="M229" s="2" t="s">
        <v>87</v>
      </c>
      <c r="N229" s="2" t="s">
        <v>90</v>
      </c>
      <c r="O229" s="2" t="s">
        <v>67</v>
      </c>
      <c r="P229" s="2" t="s">
        <v>53</v>
      </c>
      <c r="Q229" s="2" t="s">
        <v>0</v>
      </c>
    </row>
    <row r="230" spans="1:17" ht="30" customHeight="1" x14ac:dyDescent="0.45">
      <c r="A230" s="11" t="s">
        <v>326</v>
      </c>
      <c r="B230" s="11" t="s">
        <v>84</v>
      </c>
      <c r="C23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5</v>
      </c>
      <c r="D230" s="12">
        <f>(MUN[[#This Row],[60+Mins Last Season]]/MUN[[#This Row],[Possible 60+Mins Last Season]] * (38-MAX(GameRecord[GW]))/38) + (MUN[[#This Row],[60+Mins This Season]]/MUN[[#This Row],[Possible 60+Mins This Season]] * (MAX(GameRecord[GW]))/38)</f>
        <v>0.875</v>
      </c>
      <c r="E230" s="12">
        <v>0.63</v>
      </c>
      <c r="F230" s="12">
        <v>0.16</v>
      </c>
      <c r="G230" s="12">
        <v>0.29339853300733498</v>
      </c>
      <c r="H230" s="11">
        <v>28</v>
      </c>
      <c r="I230" s="11">
        <v>32</v>
      </c>
      <c r="J230" s="11"/>
      <c r="K230" s="11"/>
      <c r="L230" s="11"/>
      <c r="M230" s="11"/>
      <c r="N230" s="11">
        <v>1</v>
      </c>
      <c r="O230" s="11"/>
      <c r="P230" s="12">
        <f>MUN[[#This Row],[xPoints Av.]]*MUN[[#This Row],[Regularity]]</f>
        <v>4.375</v>
      </c>
      <c r="Q230" s="11" t="s">
        <v>12</v>
      </c>
    </row>
    <row r="231" spans="1:17" ht="30" customHeight="1" x14ac:dyDescent="0.45">
      <c r="A231" s="11" t="s">
        <v>319</v>
      </c>
      <c r="B231" s="11" t="s">
        <v>75</v>
      </c>
      <c r="C23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4.3315112540192926</v>
      </c>
      <c r="D231" s="12">
        <f>(MUN[[#This Row],[60+Mins Last Season]]/MUN[[#This Row],[Possible 60+Mins Last Season]] * (38-MAX(GameRecord[GW]))/38) + (MUN[[#This Row],[60+Mins This Season]]/MUN[[#This Row],[Possible 60+Mins This Season]] * (MAX(GameRecord[GW]))/38)</f>
        <v>0.97297297297297303</v>
      </c>
      <c r="E231" s="12">
        <v>0.27</v>
      </c>
      <c r="F231" s="12">
        <v>0.25</v>
      </c>
      <c r="G231" s="12">
        <v>0.23151125401929259</v>
      </c>
      <c r="H231" s="11">
        <v>36</v>
      </c>
      <c r="I231" s="11">
        <v>37</v>
      </c>
      <c r="J231" s="11"/>
      <c r="K231" s="11"/>
      <c r="L231" s="11"/>
      <c r="M231" s="11"/>
      <c r="N231" s="11">
        <v>1</v>
      </c>
      <c r="O231" s="11"/>
      <c r="P231" s="12">
        <f>MUN[[#This Row],[xPoints Av.]]*MUN[[#This Row],[Regularity]]</f>
        <v>4.2144433822890415</v>
      </c>
      <c r="Q231" s="11" t="s">
        <v>12</v>
      </c>
    </row>
    <row r="232" spans="1:17" ht="30" customHeight="1" x14ac:dyDescent="0.45">
      <c r="A232" s="11" t="s">
        <v>313</v>
      </c>
      <c r="B232" s="11" t="s">
        <v>64</v>
      </c>
      <c r="C23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3.512785515320334</v>
      </c>
      <c r="D232" s="12">
        <f>(MUN[[#This Row],[60+Mins Last Season]]/MUN[[#This Row],[Possible 60+Mins Last Season]] * (38-MAX(GameRecord[GW]))/38) + (MUN[[#This Row],[60+Mins This Season]]/MUN[[#This Row],[Possible 60+Mins This Season]] * (MAX(GameRecord[GW]))/38)</f>
        <v>0.93548387096774188</v>
      </c>
      <c r="E232" s="12">
        <v>0.08</v>
      </c>
      <c r="F232" s="12">
        <v>0.01</v>
      </c>
      <c r="G232" s="12">
        <v>0.25069637883008355</v>
      </c>
      <c r="H232" s="11">
        <v>29</v>
      </c>
      <c r="I232" s="11">
        <v>31</v>
      </c>
      <c r="J232" s="11"/>
      <c r="K232" s="11"/>
      <c r="L232" s="11"/>
      <c r="M232" s="11"/>
      <c r="N232" s="11">
        <v>1</v>
      </c>
      <c r="O232" s="11"/>
      <c r="P232" s="12">
        <f>MUN[[#This Row],[xPoints Av.]]*MUN[[#This Row],[Regularity]]</f>
        <v>3.28615419175128</v>
      </c>
      <c r="Q232" s="11" t="s">
        <v>12</v>
      </c>
    </row>
    <row r="233" spans="1:17" ht="30" customHeight="1" x14ac:dyDescent="0.45">
      <c r="A233" s="11" t="s">
        <v>312</v>
      </c>
      <c r="B233" s="11" t="s">
        <v>64</v>
      </c>
      <c r="C23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3.2541443411700381</v>
      </c>
      <c r="D233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3" s="12">
        <v>0.04</v>
      </c>
      <c r="F233" s="12">
        <v>0.01</v>
      </c>
      <c r="G233" s="12">
        <v>0.24603608529250956</v>
      </c>
      <c r="H233" s="11">
        <v>21</v>
      </c>
      <c r="I233" s="11">
        <v>21</v>
      </c>
      <c r="J233" s="11"/>
      <c r="K233" s="11"/>
      <c r="L233" s="11"/>
      <c r="M233" s="11"/>
      <c r="N233" s="11">
        <v>1</v>
      </c>
      <c r="O233" s="11"/>
      <c r="P233" s="12">
        <f>MUN[[#This Row],[xPoints Av.]]*MUN[[#This Row],[Regularity]]</f>
        <v>3.2541443411700381</v>
      </c>
      <c r="Q233" s="11" t="s">
        <v>12</v>
      </c>
    </row>
    <row r="234" spans="1:17" ht="30" customHeight="1" x14ac:dyDescent="0.45">
      <c r="A234" s="11" t="s">
        <v>317</v>
      </c>
      <c r="B234" s="11" t="s">
        <v>64</v>
      </c>
      <c r="C23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3.3650000000000002</v>
      </c>
      <c r="D234" s="12">
        <f>(MUN[[#This Row],[60+Mins Last Season]]/MUN[[#This Row],[Possible 60+Mins Last Season]] * (38-MAX(GameRecord[GW]))/38) + (MUN[[#This Row],[60+Mins This Season]]/MUN[[#This Row],[Possible 60+Mins This Season]] * (MAX(GameRecord[GW]))/38)</f>
        <v>0.9</v>
      </c>
      <c r="E234" s="12">
        <v>0.01</v>
      </c>
      <c r="F234" s="12">
        <v>0.21</v>
      </c>
      <c r="G234" s="12">
        <v>0.16874999999999998</v>
      </c>
      <c r="H234" s="11">
        <v>18</v>
      </c>
      <c r="I234" s="11">
        <v>20</v>
      </c>
      <c r="J234" s="11"/>
      <c r="K234" s="11"/>
      <c r="L234" s="11"/>
      <c r="M234" s="11"/>
      <c r="N234" s="11">
        <v>1</v>
      </c>
      <c r="O234" s="11"/>
      <c r="P234" s="12">
        <f>MUN[[#This Row],[xPoints Av.]]*MUN[[#This Row],[Regularity]]</f>
        <v>3.0285000000000002</v>
      </c>
      <c r="Q234" s="11" t="s">
        <v>12</v>
      </c>
    </row>
    <row r="235" spans="1:17" ht="30" customHeight="1" x14ac:dyDescent="0.45">
      <c r="A235" s="11" t="s">
        <v>311</v>
      </c>
      <c r="B235" s="11" t="s">
        <v>62</v>
      </c>
      <c r="C23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2.8421052631578947</v>
      </c>
      <c r="D235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5" s="12">
        <v>0</v>
      </c>
      <c r="F235" s="12">
        <v>0</v>
      </c>
      <c r="G235" s="12">
        <v>0.21052631578947367</v>
      </c>
      <c r="H235" s="11">
        <v>38</v>
      </c>
      <c r="I235" s="11">
        <v>38</v>
      </c>
      <c r="J235" s="11"/>
      <c r="K235" s="11"/>
      <c r="L235" s="11"/>
      <c r="M235" s="11"/>
      <c r="N235" s="11">
        <v>1</v>
      </c>
      <c r="O235" s="11"/>
      <c r="P235" s="12">
        <f>MUN[[#This Row],[xPoints Av.]]*MUN[[#This Row],[Regularity]]</f>
        <v>2.8421052631578947</v>
      </c>
      <c r="Q235" s="11" t="s">
        <v>12</v>
      </c>
    </row>
    <row r="236" spans="1:17" ht="30" customHeight="1" x14ac:dyDescent="0.45">
      <c r="A236" s="11" t="s">
        <v>315</v>
      </c>
      <c r="B236" s="11" t="s">
        <v>64</v>
      </c>
      <c r="C236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3.0679770505737354</v>
      </c>
      <c r="D236" s="12">
        <f>(MUN[[#This Row],[60+Mins Last Season]]/MUN[[#This Row],[Possible 60+Mins Last Season]] * (38-MAX(GameRecord[GW]))/38) + (MUN[[#This Row],[60+Mins This Season]]/MUN[[#This Row],[Possible 60+Mins This Season]] * (MAX(GameRecord[GW]))/38)</f>
        <v>0.84375</v>
      </c>
      <c r="E236" s="12">
        <v>0.01</v>
      </c>
      <c r="F236" s="12">
        <v>0.03</v>
      </c>
      <c r="G236" s="12">
        <v>0.22949426264343389</v>
      </c>
      <c r="H236" s="11">
        <v>27</v>
      </c>
      <c r="I236" s="11">
        <v>32</v>
      </c>
      <c r="J236" s="11"/>
      <c r="K236" s="11"/>
      <c r="L236" s="11"/>
      <c r="M236" s="11"/>
      <c r="N236" s="11">
        <v>1</v>
      </c>
      <c r="O236" s="11"/>
      <c r="P236" s="12">
        <f>MUN[[#This Row],[xPoints Av.]]*MUN[[#This Row],[Regularity]]</f>
        <v>2.588605636421589</v>
      </c>
      <c r="Q236" s="11" t="s">
        <v>12</v>
      </c>
    </row>
    <row r="237" spans="1:17" ht="30" customHeight="1" x14ac:dyDescent="0.45">
      <c r="A237" s="11" t="s">
        <v>321</v>
      </c>
      <c r="B237" s="11" t="s">
        <v>75</v>
      </c>
      <c r="C237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3.8551108764519535</v>
      </c>
      <c r="D237" s="12">
        <f>(MUN[[#This Row],[60+Mins Last Season]]/MUN[[#This Row],[Possible 60+Mins Last Season]] * (38-MAX(GameRecord[GW]))/38) + (MUN[[#This Row],[60+Mins This Season]]/MUN[[#This Row],[Possible 60+Mins This Season]] * (MAX(GameRecord[GW]))/38)</f>
        <v>0.6</v>
      </c>
      <c r="E237" s="12">
        <v>0.2</v>
      </c>
      <c r="F237" s="12">
        <v>0.19</v>
      </c>
      <c r="G237" s="12">
        <v>0.28511087645195354</v>
      </c>
      <c r="H237" s="11">
        <v>21</v>
      </c>
      <c r="I237" s="11">
        <v>35</v>
      </c>
      <c r="J237" s="11"/>
      <c r="K237" s="11"/>
      <c r="L237" s="11"/>
      <c r="M237" s="11"/>
      <c r="N237" s="11">
        <v>1</v>
      </c>
      <c r="O237" s="11"/>
      <c r="P237" s="12">
        <f>MUN[[#This Row],[xPoints Av.]]*MUN[[#This Row],[Regularity]]</f>
        <v>2.313066525871172</v>
      </c>
      <c r="Q237" s="11" t="s">
        <v>12</v>
      </c>
    </row>
    <row r="238" spans="1:17" ht="30" customHeight="1" x14ac:dyDescent="0.45">
      <c r="A238" s="11" t="s">
        <v>322</v>
      </c>
      <c r="B238" s="11" t="s">
        <v>75</v>
      </c>
      <c r="C238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2.5317602682313494</v>
      </c>
      <c r="D238" s="12">
        <f>(MUN[[#This Row],[60+Mins Last Season]]/MUN[[#This Row],[Possible 60+Mins Last Season]] * (38-MAX(GameRecord[GW]))/38) + (MUN[[#This Row],[60+Mins This Season]]/MUN[[#This Row],[Possible 60+Mins This Season]] * (MAX(GameRecord[GW]))/38)</f>
        <v>0.87096774193548376</v>
      </c>
      <c r="E238" s="12">
        <v>0.04</v>
      </c>
      <c r="F238" s="12">
        <v>0.01</v>
      </c>
      <c r="G238" s="12">
        <v>0.30176026823134949</v>
      </c>
      <c r="H238" s="11">
        <v>27</v>
      </c>
      <c r="I238" s="11">
        <v>31</v>
      </c>
      <c r="J238" s="11"/>
      <c r="K238" s="11"/>
      <c r="L238" s="11"/>
      <c r="M238" s="11"/>
      <c r="N238" s="11">
        <v>1</v>
      </c>
      <c r="O238" s="11"/>
      <c r="P238" s="12">
        <f>MUN[[#This Row],[xPoints Av.]]*MUN[[#This Row],[Regularity]]</f>
        <v>2.2050815239434329</v>
      </c>
      <c r="Q238" s="11" t="s">
        <v>12</v>
      </c>
    </row>
    <row r="239" spans="1:17" ht="30" customHeight="1" x14ac:dyDescent="0.45">
      <c r="A239" s="11" t="s">
        <v>314</v>
      </c>
      <c r="B239" s="11" t="s">
        <v>64</v>
      </c>
      <c r="C239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3.5656453558504224</v>
      </c>
      <c r="D239" s="12">
        <f>(MUN[[#This Row],[60+Mins Last Season]]/MUN[[#This Row],[Possible 60+Mins Last Season]] * (38-MAX(GameRecord[GW]))/38) + (MUN[[#This Row],[60+Mins This Season]]/MUN[[#This Row],[Possible 60+Mins This Season]] * (MAX(GameRecord[GW]))/38)</f>
        <v>0.61290322580645162</v>
      </c>
      <c r="E239" s="12">
        <v>0.02</v>
      </c>
      <c r="F239" s="12">
        <v>0.12</v>
      </c>
      <c r="G239" s="12">
        <v>0.27141133896260555</v>
      </c>
      <c r="H239" s="11">
        <v>19</v>
      </c>
      <c r="I239" s="11">
        <v>31</v>
      </c>
      <c r="J239" s="11"/>
      <c r="K239" s="11"/>
      <c r="L239" s="11"/>
      <c r="M239" s="11"/>
      <c r="N239" s="11">
        <v>1</v>
      </c>
      <c r="O239" s="11"/>
      <c r="P239" s="12">
        <f>MUN[[#This Row],[xPoints Av.]]*MUN[[#This Row],[Regularity]]</f>
        <v>2.1853955406825172</v>
      </c>
      <c r="Q239" s="11" t="s">
        <v>12</v>
      </c>
    </row>
    <row r="240" spans="1:17" ht="30" customHeight="1" x14ac:dyDescent="0.45">
      <c r="A240" s="11" t="s">
        <v>320</v>
      </c>
      <c r="B240" s="11" t="s">
        <v>75</v>
      </c>
      <c r="C24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2.8609575518262584</v>
      </c>
      <c r="D240" s="12">
        <f>(MUN[[#This Row],[60+Mins Last Season]]/MUN[[#This Row],[Possible 60+Mins Last Season]] * (38-MAX(GameRecord[GW]))/38) + (MUN[[#This Row],[60+Mins This Season]]/MUN[[#This Row],[Possible 60+Mins This Season]] * (MAX(GameRecord[GW]))/38)</f>
        <v>0.74193548387096775</v>
      </c>
      <c r="E240" s="12">
        <v>0.05</v>
      </c>
      <c r="F240" s="12">
        <v>0.1</v>
      </c>
      <c r="G240" s="12">
        <v>0.31095755182625862</v>
      </c>
      <c r="H240" s="11">
        <v>23</v>
      </c>
      <c r="I240" s="11">
        <v>31</v>
      </c>
      <c r="J240" s="11"/>
      <c r="K240" s="11"/>
      <c r="L240" s="11"/>
      <c r="M240" s="11"/>
      <c r="N240" s="11">
        <v>1</v>
      </c>
      <c r="O240" s="11"/>
      <c r="P240" s="12">
        <f>MUN[[#This Row],[xPoints Av.]]*MUN[[#This Row],[Regularity]]</f>
        <v>2.1226459255485142</v>
      </c>
      <c r="Q240" s="11" t="s">
        <v>12</v>
      </c>
    </row>
    <row r="241" spans="1:17" ht="30" customHeight="1" x14ac:dyDescent="0.45">
      <c r="A241" s="11" t="s">
        <v>323</v>
      </c>
      <c r="B241" s="11" t="s">
        <v>75</v>
      </c>
      <c r="C24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3.737058823529412</v>
      </c>
      <c r="D241" s="12">
        <f>(MUN[[#This Row],[60+Mins Last Season]]/MUN[[#This Row],[Possible 60+Mins Last Season]] * (38-MAX(GameRecord[GW]))/38) + (MUN[[#This Row],[60+Mins This Season]]/MUN[[#This Row],[Possible 60+Mins This Season]] * (MAX(GameRecord[GW]))/38)</f>
        <v>0.5</v>
      </c>
      <c r="E241" s="12">
        <v>0.21</v>
      </c>
      <c r="F241" s="12">
        <v>0.18</v>
      </c>
      <c r="G241" s="12">
        <v>0.14705882352941177</v>
      </c>
      <c r="H241" s="11">
        <v>13</v>
      </c>
      <c r="I241" s="11">
        <v>26</v>
      </c>
      <c r="J241" s="11"/>
      <c r="K241" s="11"/>
      <c r="L241" s="11"/>
      <c r="M241" s="11"/>
      <c r="N241" s="11">
        <v>1</v>
      </c>
      <c r="O241" s="11"/>
      <c r="P241" s="12">
        <f>MUN[[#This Row],[xPoints Av.]]*MUN[[#This Row],[Regularity]]</f>
        <v>1.868529411764706</v>
      </c>
      <c r="Q241" s="11" t="s">
        <v>12</v>
      </c>
    </row>
    <row r="242" spans="1:17" ht="30" customHeight="1" x14ac:dyDescent="0.45">
      <c r="A242" s="11" t="s">
        <v>316</v>
      </c>
      <c r="B242" s="11" t="s">
        <v>64</v>
      </c>
      <c r="C24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3.3016694490818033</v>
      </c>
      <c r="D242" s="12">
        <f>(MUN[[#This Row],[60+Mins Last Season]]/MUN[[#This Row],[Possible 60+Mins Last Season]] * (38-MAX(GameRecord[GW]))/38) + (MUN[[#This Row],[60+Mins This Season]]/MUN[[#This Row],[Possible 60+Mins This Season]] * (MAX(GameRecord[GW]))/38)</f>
        <v>0.52631578947368418</v>
      </c>
      <c r="E242" s="12">
        <v>0.03</v>
      </c>
      <c r="F242" s="12">
        <v>0.04</v>
      </c>
      <c r="G242" s="12">
        <v>0.25041736227045075</v>
      </c>
      <c r="H242" s="11">
        <v>20</v>
      </c>
      <c r="I242" s="11">
        <v>38</v>
      </c>
      <c r="J242" s="11"/>
      <c r="K242" s="11"/>
      <c r="L242" s="11"/>
      <c r="M242" s="11"/>
      <c r="N242" s="11">
        <v>1</v>
      </c>
      <c r="O242" s="11"/>
      <c r="P242" s="12">
        <f>MUN[[#This Row],[xPoints Av.]]*MUN[[#This Row],[Regularity]]</f>
        <v>1.7377207626746332</v>
      </c>
      <c r="Q242" s="11" t="s">
        <v>12</v>
      </c>
    </row>
    <row r="243" spans="1:17" ht="30" customHeight="1" x14ac:dyDescent="0.45">
      <c r="A243" s="13" t="s">
        <v>318</v>
      </c>
      <c r="B243" s="11" t="s">
        <v>64</v>
      </c>
      <c r="C24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2.8123424428332404</v>
      </c>
      <c r="D243" s="12">
        <f>(MUN[[#This Row],[60+Mins Last Season]]/MUN[[#This Row],[Possible 60+Mins Last Season]] * (38-MAX(GameRecord[GW]))/38) + (MUN[[#This Row],[60+Mins This Season]]/MUN[[#This Row],[Possible 60+Mins This Season]] * (MAX(GameRecord[GW]))/38)</f>
        <v>0.61764705882352944</v>
      </c>
      <c r="E243" s="12">
        <v>0.01</v>
      </c>
      <c r="F243" s="12">
        <v>0.05</v>
      </c>
      <c r="G243" s="12">
        <v>0.15058561070831011</v>
      </c>
      <c r="H243" s="11">
        <v>21</v>
      </c>
      <c r="I243" s="11">
        <v>34</v>
      </c>
      <c r="J243" s="11"/>
      <c r="K243" s="11"/>
      <c r="L243" s="11"/>
      <c r="M243" s="11"/>
      <c r="N243" s="11">
        <v>1</v>
      </c>
      <c r="O243" s="11"/>
      <c r="P243" s="12">
        <f>MUN[[#This Row],[xPoints Av.]]*MUN[[#This Row],[Regularity]]</f>
        <v>1.7370350382205308</v>
      </c>
      <c r="Q243" s="11" t="s">
        <v>12</v>
      </c>
    </row>
    <row r="244" spans="1:17" ht="30" customHeight="1" x14ac:dyDescent="0.45">
      <c r="A244" s="11" t="s">
        <v>324</v>
      </c>
      <c r="B244" s="11" t="s">
        <v>75</v>
      </c>
      <c r="C24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3.8180132450331126</v>
      </c>
      <c r="D244" s="12">
        <f>(MUN[[#This Row],[60+Mins Last Season]]/MUN[[#This Row],[Possible 60+Mins Last Season]] * (38-MAX(GameRecord[GW]))/38) + (MUN[[#This Row],[60+Mins This Season]]/MUN[[#This Row],[Possible 60+Mins This Season]] * (MAX(GameRecord[GW]))/38)</f>
        <v>0.36842105263157893</v>
      </c>
      <c r="E244" s="12">
        <v>0.22</v>
      </c>
      <c r="F244" s="12">
        <v>0.14000000000000001</v>
      </c>
      <c r="G244" s="12">
        <v>0.29801324503311255</v>
      </c>
      <c r="H244" s="11">
        <v>14</v>
      </c>
      <c r="I244" s="11">
        <v>38</v>
      </c>
      <c r="J244" s="11"/>
      <c r="K244" s="11"/>
      <c r="L244" s="11"/>
      <c r="M244" s="11"/>
      <c r="N244" s="11">
        <v>1</v>
      </c>
      <c r="O244" s="11"/>
      <c r="P244" s="12">
        <f>MUN[[#This Row],[xPoints Av.]]*MUN[[#This Row],[Regularity]]</f>
        <v>1.4066364586964097</v>
      </c>
      <c r="Q244" s="11" t="s">
        <v>12</v>
      </c>
    </row>
    <row r="245" spans="1:17" ht="30" customHeight="1" x14ac:dyDescent="0.45">
      <c r="A245" s="11" t="s">
        <v>325</v>
      </c>
      <c r="B245" s="11" t="s">
        <v>75</v>
      </c>
      <c r="C24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2.540909090909091</v>
      </c>
      <c r="D245" s="12">
        <f>(MUN[[#This Row],[60+Mins Last Season]]/MUN[[#This Row],[Possible 60+Mins Last Season]] * (38-MAX(GameRecord[GW]))/38) + (MUN[[#This Row],[60+Mins This Season]]/MUN[[#This Row],[Possible 60+Mins This Season]] * (MAX(GameRecord[GW]))/38)</f>
        <v>0.44444444444444448</v>
      </c>
      <c r="E245" s="12">
        <v>0.01</v>
      </c>
      <c r="F245" s="12">
        <v>0.12</v>
      </c>
      <c r="G245" s="12">
        <v>0.13090909090909089</v>
      </c>
      <c r="H245" s="11">
        <v>16</v>
      </c>
      <c r="I245" s="11">
        <v>36</v>
      </c>
      <c r="J245" s="11"/>
      <c r="K245" s="11"/>
      <c r="L245" s="11"/>
      <c r="M245" s="11"/>
      <c r="N245" s="11">
        <v>1</v>
      </c>
      <c r="O245" s="11"/>
      <c r="P245" s="12">
        <f>MUN[[#This Row],[xPoints Av.]]*MUN[[#This Row],[Regularity]]</f>
        <v>1.1292929292929295</v>
      </c>
      <c r="Q245" s="11" t="s">
        <v>12</v>
      </c>
    </row>
    <row r="247" spans="1:17" ht="30" customHeight="1" x14ac:dyDescent="0.35">
      <c r="A247" s="24" t="s">
        <v>327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</row>
    <row r="248" spans="1:17" ht="30" customHeight="1" x14ac:dyDescent="0.35">
      <c r="A248" s="2" t="s">
        <v>52</v>
      </c>
      <c r="B248" s="2" t="s">
        <v>86</v>
      </c>
      <c r="C248" s="2" t="s">
        <v>59</v>
      </c>
      <c r="D248" s="2" t="s">
        <v>54</v>
      </c>
      <c r="E248" s="2" t="s">
        <v>55</v>
      </c>
      <c r="F248" s="2" t="s">
        <v>56</v>
      </c>
      <c r="G248" s="2" t="s">
        <v>65</v>
      </c>
      <c r="H248" s="2" t="s">
        <v>88</v>
      </c>
      <c r="I248" s="2" t="s">
        <v>89</v>
      </c>
      <c r="J248" s="2" t="s">
        <v>57</v>
      </c>
      <c r="K248" s="2" t="s">
        <v>58</v>
      </c>
      <c r="L248" s="2" t="s">
        <v>66</v>
      </c>
      <c r="M248" s="2" t="s">
        <v>87</v>
      </c>
      <c r="N248" s="2" t="s">
        <v>90</v>
      </c>
      <c r="O248" s="2" t="s">
        <v>67</v>
      </c>
      <c r="P248" s="2" t="s">
        <v>53</v>
      </c>
      <c r="Q248" s="2" t="s">
        <v>0</v>
      </c>
    </row>
    <row r="249" spans="1:17" ht="30" customHeight="1" x14ac:dyDescent="0.45">
      <c r="A249" s="11" t="s">
        <v>354</v>
      </c>
      <c r="B249" s="11" t="s">
        <v>84</v>
      </c>
      <c r="C24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3.89</v>
      </c>
      <c r="D249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49" s="12">
        <v>0.45</v>
      </c>
      <c r="F249" s="12">
        <v>0.03</v>
      </c>
      <c r="G249" s="12">
        <v>0.19480519480519481</v>
      </c>
      <c r="H249" s="18">
        <v>15</v>
      </c>
      <c r="I249" s="18">
        <v>15</v>
      </c>
      <c r="J249" s="11"/>
      <c r="K249" s="11"/>
      <c r="L249" s="11"/>
      <c r="M249" s="11"/>
      <c r="N249" s="11">
        <v>1</v>
      </c>
      <c r="O249" s="11"/>
      <c r="P249" s="12">
        <f>NEW[[#This Row],[xPoints Av.]]*NEW[[#This Row],[Regularity]]</f>
        <v>3.89</v>
      </c>
      <c r="Q249" s="11" t="s">
        <v>16</v>
      </c>
    </row>
    <row r="250" spans="1:17" ht="30" customHeight="1" x14ac:dyDescent="0.45">
      <c r="A250" s="11" t="s">
        <v>344</v>
      </c>
      <c r="B250" s="11" t="s">
        <v>75</v>
      </c>
      <c r="C25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4.5991755577109599</v>
      </c>
      <c r="D250" s="12">
        <f>(NEW[[#This Row],[60+Mins Last Season]]/NEW[[#This Row],[Possible 60+Mins Last Season]] * (38-MAX(GameRecord[GW]))/38) + (NEW[[#This Row],[60+Mins This Season]]/NEW[[#This Row],[Possible 60+Mins This Season]] * (MAX(GameRecord[GW]))/38)</f>
        <v>0.73333333333333328</v>
      </c>
      <c r="E250" s="12">
        <v>0.36</v>
      </c>
      <c r="F250" s="12">
        <v>0.15</v>
      </c>
      <c r="G250" s="12">
        <f>4/(1031/90)</f>
        <v>0.3491755577109602</v>
      </c>
      <c r="H250" s="11">
        <v>11</v>
      </c>
      <c r="I250" s="11">
        <v>15</v>
      </c>
      <c r="J250" s="11"/>
      <c r="K250" s="11"/>
      <c r="L250" s="11"/>
      <c r="M250" s="11"/>
      <c r="N250" s="11">
        <v>1</v>
      </c>
      <c r="O250" s="11"/>
      <c r="P250" s="12">
        <f>NEW[[#This Row],[xPoints Av.]]*NEW[[#This Row],[Regularity]]</f>
        <v>3.3727287423213705</v>
      </c>
      <c r="Q250" s="11" t="s">
        <v>16</v>
      </c>
    </row>
    <row r="251" spans="1:17" ht="30" customHeight="1" x14ac:dyDescent="0.45">
      <c r="A251" s="11" t="s">
        <v>335</v>
      </c>
      <c r="B251" s="11" t="s">
        <v>64</v>
      </c>
      <c r="C25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3.7065379926858997</v>
      </c>
      <c r="D251" s="12">
        <f>(NEW[[#This Row],[60+Mins Last Season]]/NEW[[#This Row],[Possible 60+Mins Last Season]] * (38-MAX(GameRecord[GW]))/38) + (NEW[[#This Row],[60+Mins This Season]]/NEW[[#This Row],[Possible 60+Mins This Season]] * (MAX(GameRecord[GW]))/38)</f>
        <v>0.89655172413793105</v>
      </c>
      <c r="E251" s="12">
        <v>0.04</v>
      </c>
      <c r="F251" s="12">
        <v>0.05</v>
      </c>
      <c r="G251" s="12">
        <v>0.329134498171475</v>
      </c>
      <c r="H251" s="11">
        <v>26</v>
      </c>
      <c r="I251" s="11">
        <v>29</v>
      </c>
      <c r="J251" s="11"/>
      <c r="K251" s="11"/>
      <c r="L251" s="11"/>
      <c r="M251" s="11"/>
      <c r="N251" s="11">
        <v>1</v>
      </c>
      <c r="O251" s="11"/>
      <c r="P251" s="12">
        <f>NEW[[#This Row],[xPoints Av.]]*NEW[[#This Row],[Regularity]]</f>
        <v>3.3231030279252893</v>
      </c>
      <c r="Q251" s="11" t="s">
        <v>16</v>
      </c>
    </row>
    <row r="252" spans="1:17" ht="30" customHeight="1" x14ac:dyDescent="0.45">
      <c r="A252" s="11" t="s">
        <v>341</v>
      </c>
      <c r="B252" s="11" t="s">
        <v>64</v>
      </c>
      <c r="C25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3.2891608391608393</v>
      </c>
      <c r="D252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52" s="12">
        <v>0.05</v>
      </c>
      <c r="F252" s="12">
        <v>0.05</v>
      </c>
      <c r="G252" s="12">
        <f>1/(429/90)</f>
        <v>0.20979020979020979</v>
      </c>
      <c r="H252" s="11">
        <v>4</v>
      </c>
      <c r="I252" s="11">
        <v>4</v>
      </c>
      <c r="J252" s="11"/>
      <c r="K252" s="11"/>
      <c r="L252" s="11"/>
      <c r="M252" s="11"/>
      <c r="N252" s="11">
        <v>1</v>
      </c>
      <c r="O252" s="11"/>
      <c r="P252" s="12">
        <f>NEW[[#This Row],[xPoints Av.]]*NEW[[#This Row],[Regularity]]</f>
        <v>3.2891608391608393</v>
      </c>
      <c r="Q252" s="11" t="s">
        <v>16</v>
      </c>
    </row>
    <row r="253" spans="1:17" ht="30" customHeight="1" x14ac:dyDescent="0.45">
      <c r="A253" s="11" t="s">
        <v>333</v>
      </c>
      <c r="B253" s="11" t="s">
        <v>64</v>
      </c>
      <c r="C25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3.5785266457680254</v>
      </c>
      <c r="D253" s="12">
        <f>(NEW[[#This Row],[60+Mins Last Season]]/NEW[[#This Row],[Possible 60+Mins Last Season]] * (38-MAX(GameRecord[GW]))/38) + (NEW[[#This Row],[60+Mins This Season]]/NEW[[#This Row],[Possible 60+Mins This Season]] * (MAX(GameRecord[GW]))/38)</f>
        <v>0.84210526315789469</v>
      </c>
      <c r="E253" s="12">
        <v>0.02</v>
      </c>
      <c r="F253" s="12">
        <v>0.11</v>
      </c>
      <c r="G253" s="12">
        <v>0.2821316614420063</v>
      </c>
      <c r="H253" s="11">
        <v>32</v>
      </c>
      <c r="I253" s="11">
        <v>38</v>
      </c>
      <c r="J253" s="11"/>
      <c r="K253" s="11"/>
      <c r="L253" s="11"/>
      <c r="M253" s="11"/>
      <c r="N253" s="11">
        <v>1</v>
      </c>
      <c r="O253" s="11"/>
      <c r="P253" s="12">
        <f>NEW[[#This Row],[xPoints Av.]]*NEW[[#This Row],[Regularity]]</f>
        <v>3.0134961227520214</v>
      </c>
      <c r="Q253" s="11" t="s">
        <v>16</v>
      </c>
    </row>
    <row r="254" spans="1:17" ht="30" customHeight="1" x14ac:dyDescent="0.45">
      <c r="A254" s="13" t="s">
        <v>349</v>
      </c>
      <c r="B254" s="11" t="s">
        <v>84</v>
      </c>
      <c r="C25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</v>
      </c>
      <c r="D254" s="12">
        <f>(NEW[[#This Row],[60+Mins Last Season]]/NEW[[#This Row],[Possible 60+Mins Last Season]] * (38-MAX(GameRecord[GW]))/38) + (NEW[[#This Row],[60+Mins This Season]]/NEW[[#This Row],[Possible 60+Mins This Season]] * (MAX(GameRecord[GW]))/38)</f>
        <v>0.88571428571428579</v>
      </c>
      <c r="E254" s="12">
        <v>0.18</v>
      </c>
      <c r="F254" s="12">
        <v>0.17</v>
      </c>
      <c r="G254" s="12">
        <v>0.28887303851640517</v>
      </c>
      <c r="H254" s="11">
        <v>31</v>
      </c>
      <c r="I254" s="11">
        <v>35</v>
      </c>
      <c r="J254" s="11"/>
      <c r="K254" s="11"/>
      <c r="L254" s="11"/>
      <c r="M254" s="11"/>
      <c r="N254" s="11">
        <v>1</v>
      </c>
      <c r="O254" s="11"/>
      <c r="P254" s="12">
        <f>NEW[[#This Row],[xPoints Av.]]*NEW[[#This Row],[Regularity]]</f>
        <v>2.8608571428571432</v>
      </c>
      <c r="Q254" s="11" t="s">
        <v>16</v>
      </c>
    </row>
    <row r="255" spans="1:17" ht="30" customHeight="1" x14ac:dyDescent="0.45">
      <c r="A255" s="11" t="s">
        <v>328</v>
      </c>
      <c r="B255" s="11" t="s">
        <v>62</v>
      </c>
      <c r="C25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3.2307692307692308</v>
      </c>
      <c r="D255" s="12">
        <f>(NEW[[#This Row],[60+Mins Last Season]]/NEW[[#This Row],[Possible 60+Mins Last Season]] * (38-MAX(GameRecord[GW]))/38) + (NEW[[#This Row],[60+Mins This Season]]/NEW[[#This Row],[Possible 60+Mins This Season]] * (MAX(GameRecord[GW]))/38)</f>
        <v>0.81818181818181823</v>
      </c>
      <c r="E255" s="12">
        <v>0</v>
      </c>
      <c r="F255" s="12">
        <v>0</v>
      </c>
      <c r="G255" s="12">
        <v>0.30769230769230771</v>
      </c>
      <c r="H255" s="11">
        <v>27</v>
      </c>
      <c r="I255" s="11">
        <v>33</v>
      </c>
      <c r="J255" s="11"/>
      <c r="K255" s="11"/>
      <c r="L255" s="11"/>
      <c r="M255" s="11"/>
      <c r="N255" s="11">
        <v>1</v>
      </c>
      <c r="O255" s="11"/>
      <c r="P255" s="12">
        <f>NEW[[#This Row],[xPoints Av.]]*NEW[[#This Row],[Regularity]]</f>
        <v>2.6433566433566438</v>
      </c>
      <c r="Q255" s="11" t="s">
        <v>16</v>
      </c>
    </row>
    <row r="256" spans="1:17" ht="30" customHeight="1" x14ac:dyDescent="0.45">
      <c r="A256" s="11" t="s">
        <v>350</v>
      </c>
      <c r="B256" s="11" t="s">
        <v>84</v>
      </c>
      <c r="C25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3.09</v>
      </c>
      <c r="D256" s="12">
        <f>(NEW[[#This Row],[60+Mins Last Season]]/NEW[[#This Row],[Possible 60+Mins Last Season]] * (38-MAX(GameRecord[GW]))/38) + (NEW[[#This Row],[60+Mins This Season]]/NEW[[#This Row],[Possible 60+Mins This Season]] * (MAX(GameRecord[GW]))/38)</f>
        <v>0.83783783783783783</v>
      </c>
      <c r="E256" s="12">
        <v>0.22</v>
      </c>
      <c r="F256" s="12">
        <v>7.0000000000000007E-2</v>
      </c>
      <c r="G256" s="12">
        <v>0.28887303851640517</v>
      </c>
      <c r="H256" s="18">
        <v>31</v>
      </c>
      <c r="I256" s="18">
        <v>37</v>
      </c>
      <c r="J256" s="11"/>
      <c r="K256" s="11"/>
      <c r="L256" s="11"/>
      <c r="M256" s="11"/>
      <c r="N256" s="11">
        <v>1</v>
      </c>
      <c r="O256" s="11"/>
      <c r="P256" s="12">
        <f>NEW[[#This Row],[xPoints Av.]]*NEW[[#This Row],[Regularity]]</f>
        <v>2.5889189189189188</v>
      </c>
      <c r="Q256" s="11" t="s">
        <v>16</v>
      </c>
    </row>
    <row r="257" spans="1:17" ht="30" customHeight="1" x14ac:dyDescent="0.45">
      <c r="A257" s="11" t="s">
        <v>345</v>
      </c>
      <c r="B257" s="11" t="s">
        <v>75</v>
      </c>
      <c r="C25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2.6225896012115095</v>
      </c>
      <c r="D257" s="12">
        <f>(NEW[[#This Row],[60+Mins Last Season]]/NEW[[#This Row],[Possible 60+Mins Last Season]] * (38-MAX(GameRecord[GW]))/38) + (NEW[[#This Row],[60+Mins This Season]]/NEW[[#This Row],[Possible 60+Mins This Season]] * (MAX(GameRecord[GW]))/38)</f>
        <v>0.84615384615384615</v>
      </c>
      <c r="E257" s="12">
        <v>0.04</v>
      </c>
      <c r="F257" s="12">
        <v>0.05</v>
      </c>
      <c r="G257" s="12">
        <v>0.27258960121150932</v>
      </c>
      <c r="H257" s="11">
        <v>22</v>
      </c>
      <c r="I257" s="11">
        <v>26</v>
      </c>
      <c r="J257" s="11"/>
      <c r="K257" s="11"/>
      <c r="L257" s="11"/>
      <c r="M257" s="11"/>
      <c r="N257" s="11">
        <v>1</v>
      </c>
      <c r="O257" s="11"/>
      <c r="P257" s="12">
        <f>NEW[[#This Row],[xPoints Av.]]*NEW[[#This Row],[Regularity]]</f>
        <v>2.2191142779482003</v>
      </c>
      <c r="Q257" s="11" t="s">
        <v>16</v>
      </c>
    </row>
    <row r="258" spans="1:17" ht="30" customHeight="1" x14ac:dyDescent="0.45">
      <c r="A258" s="11" t="s">
        <v>353</v>
      </c>
      <c r="B258" s="11" t="s">
        <v>84</v>
      </c>
      <c r="C258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2.73</v>
      </c>
      <c r="D258" s="12">
        <f>(NEW[[#This Row],[60+Mins Last Season]]/NEW[[#This Row],[Possible 60+Mins Last Season]] * (38-MAX(GameRecord[GW]))/38) + (NEW[[#This Row],[60+Mins This Season]]/NEW[[#This Row],[Possible 60+Mins This Season]] * (MAX(GameRecord[GW]))/38)</f>
        <v>0.79411764705882348</v>
      </c>
      <c r="E258" s="12">
        <v>0.13</v>
      </c>
      <c r="F258" s="12">
        <v>7.0000000000000007E-2</v>
      </c>
      <c r="G258" s="12">
        <v>0.24667188723570871</v>
      </c>
      <c r="H258" s="18">
        <v>27</v>
      </c>
      <c r="I258" s="18">
        <v>34</v>
      </c>
      <c r="J258" s="11"/>
      <c r="K258" s="11"/>
      <c r="L258" s="11"/>
      <c r="M258" s="11"/>
      <c r="N258" s="11">
        <v>1</v>
      </c>
      <c r="O258" s="11"/>
      <c r="P258" s="12">
        <f>NEW[[#This Row],[xPoints Av.]]*NEW[[#This Row],[Regularity]]</f>
        <v>2.1679411764705883</v>
      </c>
      <c r="Q258" s="11" t="s">
        <v>16</v>
      </c>
    </row>
    <row r="259" spans="1:17" ht="30" customHeight="1" x14ac:dyDescent="0.45">
      <c r="A259" s="11" t="s">
        <v>342</v>
      </c>
      <c r="B259" s="11" t="s">
        <v>75</v>
      </c>
      <c r="C25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3.2150957290132549</v>
      </c>
      <c r="D259" s="12">
        <f>(NEW[[#This Row],[60+Mins Last Season]]/NEW[[#This Row],[Possible 60+Mins Last Season]] * (38-MAX(GameRecord[GW]))/38) + (NEW[[#This Row],[60+Mins This Season]]/NEW[[#This Row],[Possible 60+Mins This Season]] * (MAX(GameRecord[GW]))/38)</f>
        <v>0.66666666666666663</v>
      </c>
      <c r="E259" s="12">
        <v>0.16</v>
      </c>
      <c r="F259" s="12">
        <v>0.05</v>
      </c>
      <c r="G259" s="12">
        <v>0.26509572901325479</v>
      </c>
      <c r="H259" s="11">
        <v>22</v>
      </c>
      <c r="I259" s="11">
        <v>33</v>
      </c>
      <c r="J259" s="11"/>
      <c r="K259" s="11"/>
      <c r="L259" s="11"/>
      <c r="M259" s="11"/>
      <c r="N259" s="11">
        <v>1</v>
      </c>
      <c r="O259" s="11"/>
      <c r="P259" s="12">
        <f>NEW[[#This Row],[xPoints Av.]]*NEW[[#This Row],[Regularity]]</f>
        <v>2.1433971526755031</v>
      </c>
      <c r="Q259" s="11" t="s">
        <v>16</v>
      </c>
    </row>
    <row r="260" spans="1:17" ht="30" customHeight="1" x14ac:dyDescent="0.45">
      <c r="A260" s="11" t="s">
        <v>337</v>
      </c>
      <c r="B260" s="11" t="s">
        <v>64</v>
      </c>
      <c r="C26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3.360926784059314</v>
      </c>
      <c r="D260" s="12">
        <f>(NEW[[#This Row],[60+Mins Last Season]]/NEW[[#This Row],[Possible 60+Mins Last Season]] * (38-MAX(GameRecord[GW]))/38) + (NEW[[#This Row],[60+Mins This Season]]/NEW[[#This Row],[Possible 60+Mins This Season]] * (MAX(GameRecord[GW]))/38)</f>
        <v>0.60526315789473684</v>
      </c>
      <c r="E260" s="12">
        <v>0.03</v>
      </c>
      <c r="F260" s="12">
        <v>0.06</v>
      </c>
      <c r="G260" s="12">
        <v>0.25023169601482853</v>
      </c>
      <c r="H260" s="11">
        <v>23</v>
      </c>
      <c r="I260" s="11">
        <v>38</v>
      </c>
      <c r="J260" s="11"/>
      <c r="K260" s="11"/>
      <c r="L260" s="11"/>
      <c r="M260" s="11"/>
      <c r="N260" s="11">
        <v>1</v>
      </c>
      <c r="O260" s="11"/>
      <c r="P260" s="12">
        <f>NEW[[#This Row],[xPoints Av.]]*NEW[[#This Row],[Regularity]]</f>
        <v>2.0342451587727428</v>
      </c>
      <c r="Q260" s="11" t="s">
        <v>16</v>
      </c>
    </row>
    <row r="261" spans="1:17" ht="30" customHeight="1" x14ac:dyDescent="0.45">
      <c r="A261" s="11" t="s">
        <v>339</v>
      </c>
      <c r="B261" s="11" t="s">
        <v>64</v>
      </c>
      <c r="C26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2.9155474452554744</v>
      </c>
      <c r="D261" s="12">
        <f>(NEW[[#This Row],[60+Mins Last Season]]/NEW[[#This Row],[Possible 60+Mins Last Season]] * (38-MAX(GameRecord[GW]))/38) + (NEW[[#This Row],[60+Mins This Season]]/NEW[[#This Row],[Possible 60+Mins This Season]] * (MAX(GameRecord[GW]))/38)</f>
        <v>0.59459459459459463</v>
      </c>
      <c r="E261" s="12">
        <v>0.06</v>
      </c>
      <c r="F261" s="12">
        <v>0.01</v>
      </c>
      <c r="G261" s="12">
        <v>0.13138686131386862</v>
      </c>
      <c r="H261" s="11">
        <v>22</v>
      </c>
      <c r="I261" s="11">
        <v>37</v>
      </c>
      <c r="J261" s="11"/>
      <c r="K261" s="11"/>
      <c r="L261" s="11"/>
      <c r="M261" s="11"/>
      <c r="N261" s="11">
        <v>1</v>
      </c>
      <c r="O261" s="11"/>
      <c r="P261" s="12">
        <f>NEW[[#This Row],[xPoints Av.]]*NEW[[#This Row],[Regularity]]</f>
        <v>1.7335687512329849</v>
      </c>
      <c r="Q261" s="11" t="s">
        <v>16</v>
      </c>
    </row>
    <row r="262" spans="1:17" ht="30" customHeight="1" x14ac:dyDescent="0.45">
      <c r="A262" s="11" t="s">
        <v>338</v>
      </c>
      <c r="B262" s="11" t="s">
        <v>64</v>
      </c>
      <c r="C26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3.5602933985330072</v>
      </c>
      <c r="D262" s="12">
        <f>(NEW[[#This Row],[60+Mins Last Season]]/NEW[[#This Row],[Possible 60+Mins Last Season]] * (38-MAX(GameRecord[GW]))/38) + (NEW[[#This Row],[60+Mins This Season]]/NEW[[#This Row],[Possible 60+Mins This Season]] * (MAX(GameRecord[GW]))/38)</f>
        <v>0.47368421052631576</v>
      </c>
      <c r="E262" s="12">
        <v>0.01</v>
      </c>
      <c r="F262" s="12">
        <v>0.06</v>
      </c>
      <c r="G262" s="12">
        <v>0.33007334963325186</v>
      </c>
      <c r="H262" s="11">
        <v>18</v>
      </c>
      <c r="I262" s="11">
        <v>38</v>
      </c>
      <c r="J262" s="11"/>
      <c r="K262" s="11"/>
      <c r="L262" s="11"/>
      <c r="M262" s="11"/>
      <c r="N262" s="11">
        <v>1</v>
      </c>
      <c r="O262" s="11"/>
      <c r="P262" s="12">
        <f>NEW[[#This Row],[xPoints Av.]]*NEW[[#This Row],[Regularity]]</f>
        <v>1.6864547677261612</v>
      </c>
      <c r="Q262" s="11" t="s">
        <v>16</v>
      </c>
    </row>
    <row r="263" spans="1:17" ht="30" customHeight="1" x14ac:dyDescent="0.45">
      <c r="A263" s="11" t="s">
        <v>347</v>
      </c>
      <c r="B263" s="11" t="s">
        <v>75</v>
      </c>
      <c r="C26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2.9165298944900351</v>
      </c>
      <c r="D263" s="12">
        <f>(NEW[[#This Row],[60+Mins Last Season]]/NEW[[#This Row],[Possible 60+Mins Last Season]] * (38-MAX(GameRecord[GW]))/38) + (NEW[[#This Row],[60+Mins This Season]]/NEW[[#This Row],[Possible 60+Mins This Season]] * (MAX(GameRecord[GW]))/38)</f>
        <v>0.52631578947368418</v>
      </c>
      <c r="E263" s="12">
        <v>0.09</v>
      </c>
      <c r="F263" s="12">
        <v>0.05</v>
      </c>
      <c r="G263" s="12">
        <v>0.31652989449003516</v>
      </c>
      <c r="H263" s="11">
        <v>20</v>
      </c>
      <c r="I263" s="11">
        <v>38</v>
      </c>
      <c r="J263" s="11"/>
      <c r="K263" s="11"/>
      <c r="L263" s="11"/>
      <c r="M263" s="11"/>
      <c r="N263" s="11">
        <v>1</v>
      </c>
      <c r="O263" s="11"/>
      <c r="P263" s="12">
        <f>NEW[[#This Row],[xPoints Av.]]*NEW[[#This Row],[Regularity]]</f>
        <v>1.5350157339421235</v>
      </c>
      <c r="Q263" s="11" t="s">
        <v>16</v>
      </c>
    </row>
    <row r="264" spans="1:17" ht="30" customHeight="1" x14ac:dyDescent="0.45">
      <c r="A264" s="11" t="s">
        <v>343</v>
      </c>
      <c r="B264" s="11" t="s">
        <v>75</v>
      </c>
      <c r="C26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3.5484304318026045</v>
      </c>
      <c r="D264" s="12">
        <f>(NEW[[#This Row],[60+Mins Last Season]]/NEW[[#This Row],[Possible 60+Mins Last Season]] * (38-MAX(GameRecord[GW]))/38) + (NEW[[#This Row],[60+Mins This Season]]/NEW[[#This Row],[Possible 60+Mins This Season]] * (MAX(GameRecord[GW]))/38)</f>
        <v>0.42105263157894735</v>
      </c>
      <c r="E264" s="12">
        <v>0.17</v>
      </c>
      <c r="F264" s="12">
        <v>0.13</v>
      </c>
      <c r="G264" s="12">
        <v>0.30843043180260449</v>
      </c>
      <c r="H264" s="11">
        <v>16</v>
      </c>
      <c r="I264" s="11">
        <v>38</v>
      </c>
      <c r="J264" s="11"/>
      <c r="K264" s="11"/>
      <c r="L264" s="11"/>
      <c r="M264" s="11"/>
      <c r="N264" s="11">
        <v>1</v>
      </c>
      <c r="O264" s="11"/>
      <c r="P264" s="12">
        <f>NEW[[#This Row],[xPoints Av.]]*NEW[[#This Row],[Regularity]]</f>
        <v>1.4940759712853071</v>
      </c>
      <c r="Q264" s="11" t="s">
        <v>16</v>
      </c>
    </row>
    <row r="265" spans="1:17" ht="30" customHeight="1" x14ac:dyDescent="0.45">
      <c r="A265" s="11" t="s">
        <v>346</v>
      </c>
      <c r="B265" s="11" t="s">
        <v>75</v>
      </c>
      <c r="C26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3.3735415236787922</v>
      </c>
      <c r="D265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5" s="12">
        <v>0.16</v>
      </c>
      <c r="F265" s="12">
        <v>0.15</v>
      </c>
      <c r="G265" s="12">
        <v>0.12354152367879204</v>
      </c>
      <c r="H265" s="11">
        <v>14</v>
      </c>
      <c r="I265" s="11">
        <v>38</v>
      </c>
      <c r="J265" s="11"/>
      <c r="K265" s="11"/>
      <c r="L265" s="11"/>
      <c r="M265" s="11"/>
      <c r="N265" s="11">
        <v>1</v>
      </c>
      <c r="O265" s="11"/>
      <c r="P265" s="12">
        <f>NEW[[#This Row],[xPoints Av.]]*NEW[[#This Row],[Regularity]]</f>
        <v>1.2428837192500812</v>
      </c>
      <c r="Q265" s="11" t="s">
        <v>16</v>
      </c>
    </row>
    <row r="266" spans="1:17" ht="30" customHeight="1" x14ac:dyDescent="0.45">
      <c r="A266" s="11" t="s">
        <v>340</v>
      </c>
      <c r="B266" s="11" t="s">
        <v>64</v>
      </c>
      <c r="C26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2.5561685214626388</v>
      </c>
      <c r="D266" s="12">
        <f>(NEW[[#This Row],[60+Mins Last Season]]/NEW[[#This Row],[Possible 60+Mins Last Season]] * (38-MAX(GameRecord[GW]))/38) + (NEW[[#This Row],[60+Mins This Season]]/NEW[[#This Row],[Possible 60+Mins This Season]] * (MAX(GameRecord[GW]))/38)</f>
        <v>0.3611111111111111</v>
      </c>
      <c r="E266" s="12">
        <v>0.03</v>
      </c>
      <c r="F266" s="12">
        <v>0.03</v>
      </c>
      <c r="G266" s="12">
        <v>7.1542130365659776E-2</v>
      </c>
      <c r="H266" s="11">
        <v>13</v>
      </c>
      <c r="I266" s="11">
        <v>36</v>
      </c>
      <c r="J266" s="11"/>
      <c r="K266" s="11"/>
      <c r="L266" s="11"/>
      <c r="M266" s="11"/>
      <c r="N266" s="11">
        <v>1</v>
      </c>
      <c r="O266" s="11"/>
      <c r="P266" s="12">
        <f>NEW[[#This Row],[xPoints Av.]]*NEW[[#This Row],[Regularity]]</f>
        <v>0.92306085497261958</v>
      </c>
      <c r="Q266" s="11" t="s">
        <v>16</v>
      </c>
    </row>
    <row r="267" spans="1:17" ht="30" customHeight="1" x14ac:dyDescent="0.45">
      <c r="A267" s="11" t="s">
        <v>348</v>
      </c>
      <c r="B267" s="11" t="s">
        <v>75</v>
      </c>
      <c r="C26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2.4634567901234568</v>
      </c>
      <c r="D267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7" s="12">
        <v>0.05</v>
      </c>
      <c r="F267" s="12">
        <v>0.03</v>
      </c>
      <c r="G267" s="12">
        <v>0.1234567901234568</v>
      </c>
      <c r="H267" s="11">
        <v>14</v>
      </c>
      <c r="I267" s="11">
        <v>38</v>
      </c>
      <c r="J267" s="11"/>
      <c r="K267" s="11"/>
      <c r="L267" s="11"/>
      <c r="M267" s="11"/>
      <c r="N267" s="11">
        <v>1</v>
      </c>
      <c r="O267" s="11"/>
      <c r="P267" s="12">
        <f>NEW[[#This Row],[xPoints Av.]]*NEW[[#This Row],[Regularity]]</f>
        <v>0.90758934372969458</v>
      </c>
      <c r="Q267" s="11" t="s">
        <v>16</v>
      </c>
    </row>
    <row r="269" spans="1:17" ht="30" customHeight="1" x14ac:dyDescent="0.35">
      <c r="A269" s="24" t="s">
        <v>355</v>
      </c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</row>
    <row r="270" spans="1:17" ht="30" customHeight="1" x14ac:dyDescent="0.35">
      <c r="A270" s="2" t="s">
        <v>52</v>
      </c>
      <c r="B270" s="2" t="s">
        <v>86</v>
      </c>
      <c r="C270" s="2" t="s">
        <v>59</v>
      </c>
      <c r="D270" s="2" t="s">
        <v>54</v>
      </c>
      <c r="E270" s="2" t="s">
        <v>55</v>
      </c>
      <c r="F270" s="2" t="s">
        <v>56</v>
      </c>
      <c r="G270" s="2" t="s">
        <v>65</v>
      </c>
      <c r="H270" s="2" t="s">
        <v>88</v>
      </c>
      <c r="I270" s="2" t="s">
        <v>89</v>
      </c>
      <c r="J270" s="2" t="s">
        <v>57</v>
      </c>
      <c r="K270" s="2" t="s">
        <v>58</v>
      </c>
      <c r="L270" s="2" t="s">
        <v>66</v>
      </c>
      <c r="M270" s="2" t="s">
        <v>87</v>
      </c>
      <c r="N270" s="2" t="s">
        <v>90</v>
      </c>
      <c r="O270" s="2" t="s">
        <v>67</v>
      </c>
      <c r="P270" s="2" t="s">
        <v>53</v>
      </c>
      <c r="Q270" s="2" t="s">
        <v>0</v>
      </c>
    </row>
    <row r="271" spans="1:17" ht="30" customHeight="1" x14ac:dyDescent="0.45">
      <c r="A271" s="13" t="s">
        <v>363</v>
      </c>
      <c r="B271" s="11" t="s">
        <v>75</v>
      </c>
      <c r="C27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3.4359564541213063</v>
      </c>
      <c r="D271" s="12">
        <f>(SOU[[#This Row],[60+Mins Last Season]]/SOU[[#This Row],[Possible 60+Mins Last Season]] * (38-MAX(GameRecord[GW]))/38) + (SOU[[#This Row],[60+Mins This Season]]/SOU[[#This Row],[Possible 60+Mins This Season]] * (MAX(GameRecord[GW]))/38)</f>
        <v>0.94736842105263153</v>
      </c>
      <c r="E271" s="12">
        <v>0.14000000000000001</v>
      </c>
      <c r="F271" s="12">
        <v>0.18</v>
      </c>
      <c r="G271" s="12">
        <v>0.19595645412130638</v>
      </c>
      <c r="H271" s="11">
        <v>36</v>
      </c>
      <c r="I271" s="11">
        <v>38</v>
      </c>
      <c r="J271" s="11"/>
      <c r="K271" s="11"/>
      <c r="L271" s="11"/>
      <c r="M271" s="11"/>
      <c r="N271" s="11">
        <v>1</v>
      </c>
      <c r="O271" s="11"/>
      <c r="P271" s="12">
        <f>SOU[[#This Row],[xPoints Av.]]*SOU[[#This Row],[Regularity]]</f>
        <v>3.2551166407465004</v>
      </c>
      <c r="Q271" s="11" t="s">
        <v>20</v>
      </c>
    </row>
    <row r="272" spans="1:17" ht="30" customHeight="1" x14ac:dyDescent="0.45">
      <c r="A272" s="11" t="s">
        <v>360</v>
      </c>
      <c r="B272" s="11" t="s">
        <v>64</v>
      </c>
      <c r="C27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3.8054545454545456</v>
      </c>
      <c r="D272" s="12">
        <f>(SOU[[#This Row],[60+Mins Last Season]]/SOU[[#This Row],[Possible 60+Mins Last Season]] * (38-MAX(GameRecord[GW]))/38) + (SOU[[#This Row],[60+Mins This Season]]/SOU[[#This Row],[Possible 60+Mins This Season]] * (MAX(GameRecord[GW]))/38)</f>
        <v>0.8</v>
      </c>
      <c r="E272" s="12">
        <v>0.05</v>
      </c>
      <c r="F272" s="12">
        <v>0.12</v>
      </c>
      <c r="G272" s="12">
        <v>0.28636363636363638</v>
      </c>
      <c r="H272" s="11">
        <v>24</v>
      </c>
      <c r="I272" s="11">
        <v>30</v>
      </c>
      <c r="J272" s="11"/>
      <c r="K272" s="11"/>
      <c r="L272" s="11"/>
      <c r="M272" s="11"/>
      <c r="N272" s="11">
        <v>1</v>
      </c>
      <c r="O272" s="11"/>
      <c r="P272" s="12">
        <f>SOU[[#This Row],[xPoints Av.]]*SOU[[#This Row],[Regularity]]</f>
        <v>3.0443636363636366</v>
      </c>
      <c r="Q272" s="11" t="s">
        <v>20</v>
      </c>
    </row>
    <row r="273" spans="1:17" ht="30" customHeight="1" x14ac:dyDescent="0.45">
      <c r="A273" s="13" t="s">
        <v>359</v>
      </c>
      <c r="B273" s="11" t="s">
        <v>64</v>
      </c>
      <c r="C27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3.451292775665399</v>
      </c>
      <c r="D273" s="12">
        <f>(SOU[[#This Row],[60+Mins Last Season]]/SOU[[#This Row],[Possible 60+Mins Last Season]] * (38-MAX(GameRecord[GW]))/38) + (SOU[[#This Row],[60+Mins This Season]]/SOU[[#This Row],[Possible 60+Mins This Season]] * (MAX(GameRecord[GW]))/38)</f>
        <v>0.80555555555555558</v>
      </c>
      <c r="E273" s="12">
        <v>0.05</v>
      </c>
      <c r="F273" s="12">
        <v>0.11</v>
      </c>
      <c r="G273" s="12">
        <v>0.20532319391634982</v>
      </c>
      <c r="H273" s="11">
        <v>29</v>
      </c>
      <c r="I273" s="11">
        <v>36</v>
      </c>
      <c r="J273" s="11"/>
      <c r="K273" s="11"/>
      <c r="L273" s="11"/>
      <c r="M273" s="11"/>
      <c r="N273" s="11">
        <v>1</v>
      </c>
      <c r="O273" s="11"/>
      <c r="P273" s="12">
        <f>SOU[[#This Row],[xPoints Av.]]*SOU[[#This Row],[Regularity]]</f>
        <v>2.780208069286016</v>
      </c>
      <c r="Q273" s="11" t="s">
        <v>20</v>
      </c>
    </row>
    <row r="274" spans="1:17" ht="30" customHeight="1" x14ac:dyDescent="0.45">
      <c r="A274" s="11" t="s">
        <v>358</v>
      </c>
      <c r="B274" s="11" t="s">
        <v>64</v>
      </c>
      <c r="C27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3.5885393685812099</v>
      </c>
      <c r="D274" s="12">
        <f>(SOU[[#This Row],[60+Mins Last Season]]/SOU[[#This Row],[Possible 60+Mins Last Season]] * (38-MAX(GameRecord[GW]))/38) + (SOU[[#This Row],[60+Mins This Season]]/SOU[[#This Row],[Possible 60+Mins This Season]] * (MAX(GameRecord[GW]))/38)</f>
        <v>0.73684210526315785</v>
      </c>
      <c r="E274" s="12">
        <v>0.1</v>
      </c>
      <c r="F274" s="12">
        <v>0.01</v>
      </c>
      <c r="G274" s="12">
        <v>0.2396348421453024</v>
      </c>
      <c r="H274" s="11">
        <v>28</v>
      </c>
      <c r="I274" s="11">
        <v>38</v>
      </c>
      <c r="J274" s="11"/>
      <c r="K274" s="11"/>
      <c r="L274" s="11"/>
      <c r="M274" s="11"/>
      <c r="N274" s="11">
        <v>1</v>
      </c>
      <c r="O274" s="11"/>
      <c r="P274" s="12">
        <f>SOU[[#This Row],[xPoints Av.]]*SOU[[#This Row],[Regularity]]</f>
        <v>2.6441869031651017</v>
      </c>
      <c r="Q274" s="11" t="s">
        <v>20</v>
      </c>
    </row>
    <row r="275" spans="1:17" ht="30" customHeight="1" x14ac:dyDescent="0.45">
      <c r="A275" s="11" t="s">
        <v>361</v>
      </c>
      <c r="B275" s="11" t="s">
        <v>64</v>
      </c>
      <c r="C27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3.0870279367216424</v>
      </c>
      <c r="D275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5" s="12">
        <v>0.05</v>
      </c>
      <c r="F275" s="12">
        <v>0.02</v>
      </c>
      <c r="G275" s="12">
        <v>0.18175698418041061</v>
      </c>
      <c r="H275" s="11">
        <v>32</v>
      </c>
      <c r="I275" s="11">
        <v>38</v>
      </c>
      <c r="J275" s="11"/>
      <c r="K275" s="11"/>
      <c r="L275" s="11"/>
      <c r="M275" s="11"/>
      <c r="N275" s="11">
        <v>1</v>
      </c>
      <c r="O275" s="11"/>
      <c r="P275" s="12">
        <f>SOU[[#This Row],[xPoints Av.]]*SOU[[#This Row],[Regularity]]</f>
        <v>2.5996024730287512</v>
      </c>
      <c r="Q275" s="11" t="s">
        <v>20</v>
      </c>
    </row>
    <row r="276" spans="1:17" ht="30" customHeight="1" x14ac:dyDescent="0.45">
      <c r="A276" s="11" t="s">
        <v>365</v>
      </c>
      <c r="B276" s="11" t="s">
        <v>75</v>
      </c>
      <c r="C27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2.7379930795847751</v>
      </c>
      <c r="D276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6" s="12">
        <v>0.05</v>
      </c>
      <c r="F276" s="12">
        <v>0.09</v>
      </c>
      <c r="G276" s="12">
        <v>0.21799307958477507</v>
      </c>
      <c r="H276" s="11">
        <v>32</v>
      </c>
      <c r="I276" s="11">
        <v>38</v>
      </c>
      <c r="J276" s="11"/>
      <c r="K276" s="11"/>
      <c r="L276" s="11"/>
      <c r="M276" s="11"/>
      <c r="N276" s="11">
        <v>1</v>
      </c>
      <c r="O276" s="11"/>
      <c r="P276" s="12">
        <f>SOU[[#This Row],[xPoints Av.]]*SOU[[#This Row],[Regularity]]</f>
        <v>2.3056783828082317</v>
      </c>
      <c r="Q276" s="11" t="s">
        <v>20</v>
      </c>
    </row>
    <row r="277" spans="1:17" ht="30" customHeight="1" x14ac:dyDescent="0.45">
      <c r="A277" s="14" t="s">
        <v>364</v>
      </c>
      <c r="B277" s="11" t="s">
        <v>75</v>
      </c>
      <c r="C27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4.1031142717018145</v>
      </c>
      <c r="D277" s="12">
        <f>(SOU[[#This Row],[60+Mins Last Season]]/SOU[[#This Row],[Possible 60+Mins Last Season]] * (38-MAX(GameRecord[GW]))/38) + (SOU[[#This Row],[60+Mins This Season]]/SOU[[#This Row],[Possible 60+Mins This Season]] * (MAX(GameRecord[GW]))/38)</f>
        <v>0.55263157894736847</v>
      </c>
      <c r="E277" s="12">
        <v>0.28999999999999998</v>
      </c>
      <c r="F277" s="12">
        <v>0.1</v>
      </c>
      <c r="G277" s="12">
        <v>0.35311427170181464</v>
      </c>
      <c r="H277" s="11">
        <v>21</v>
      </c>
      <c r="I277" s="11">
        <v>38</v>
      </c>
      <c r="J277" s="11"/>
      <c r="K277" s="11"/>
      <c r="L277" s="11"/>
      <c r="M277" s="11"/>
      <c r="N277" s="11">
        <v>1</v>
      </c>
      <c r="O277" s="11"/>
      <c r="P277" s="12">
        <f>SOU[[#This Row],[xPoints Av.]]*SOU[[#This Row],[Regularity]]</f>
        <v>2.2675105185720557</v>
      </c>
      <c r="Q277" s="11" t="s">
        <v>20</v>
      </c>
    </row>
    <row r="278" spans="1:17" ht="30" customHeight="1" x14ac:dyDescent="0.45">
      <c r="A278" s="11" t="s">
        <v>369</v>
      </c>
      <c r="B278" s="11" t="s">
        <v>84</v>
      </c>
      <c r="C278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3.87</v>
      </c>
      <c r="D278" s="12">
        <f>(SOU[[#This Row],[60+Mins Last Season]]/SOU[[#This Row],[Possible 60+Mins Last Season]] * (38-MAX(GameRecord[GW]))/38) + (SOU[[#This Row],[60+Mins This Season]]/SOU[[#This Row],[Possible 60+Mins This Season]] * (MAX(GameRecord[GW]))/38)</f>
        <v>0.57894736842105265</v>
      </c>
      <c r="E278" s="12">
        <v>0.37</v>
      </c>
      <c r="F278" s="12">
        <v>0.13</v>
      </c>
      <c r="G278" s="12">
        <v>0.22123893805309733</v>
      </c>
      <c r="H278" s="11">
        <v>22</v>
      </c>
      <c r="I278" s="11">
        <v>38</v>
      </c>
      <c r="J278" s="11"/>
      <c r="K278" s="11"/>
      <c r="L278" s="11"/>
      <c r="M278" s="11"/>
      <c r="N278" s="11">
        <v>1</v>
      </c>
      <c r="O278" s="11"/>
      <c r="P278" s="12">
        <f>SOU[[#This Row],[xPoints Av.]]*SOU[[#This Row],[Regularity]]</f>
        <v>2.2405263157894737</v>
      </c>
      <c r="Q278" s="11" t="s">
        <v>20</v>
      </c>
    </row>
    <row r="279" spans="1:17" ht="30" customHeight="1" x14ac:dyDescent="0.45">
      <c r="A279" s="11" t="s">
        <v>370</v>
      </c>
      <c r="B279" s="11" t="s">
        <v>84</v>
      </c>
      <c r="C279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3.29</v>
      </c>
      <c r="D279" s="12">
        <f>(SOU[[#This Row],[60+Mins Last Season]]/SOU[[#This Row],[Possible 60+Mins Last Season]] * (38-MAX(GameRecord[GW]))/38) + (SOU[[#This Row],[60+Mins This Season]]/SOU[[#This Row],[Possible 60+Mins This Season]] * (MAX(GameRecord[GW]))/38)</f>
        <v>0.58333333333333337</v>
      </c>
      <c r="E279" s="12">
        <v>0.27</v>
      </c>
      <c r="F279" s="12">
        <v>7.0000000000000007E-2</v>
      </c>
      <c r="G279" s="12">
        <v>0.22854240731335704</v>
      </c>
      <c r="H279" s="11">
        <v>21</v>
      </c>
      <c r="I279" s="11">
        <v>36</v>
      </c>
      <c r="J279" s="11"/>
      <c r="K279" s="11"/>
      <c r="L279" s="11"/>
      <c r="M279" s="11"/>
      <c r="N279" s="11">
        <v>1</v>
      </c>
      <c r="O279" s="11"/>
      <c r="P279" s="12">
        <f>SOU[[#This Row],[xPoints Av.]]*SOU[[#This Row],[Regularity]]</f>
        <v>1.9191666666666669</v>
      </c>
      <c r="Q279" s="11" t="s">
        <v>20</v>
      </c>
    </row>
    <row r="280" spans="1:17" ht="30" customHeight="1" x14ac:dyDescent="0.45">
      <c r="A280" s="11" t="s">
        <v>366</v>
      </c>
      <c r="B280" s="11" t="s">
        <v>75</v>
      </c>
      <c r="C280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3.1970443349753697</v>
      </c>
      <c r="D280" s="12">
        <f>(SOU[[#This Row],[60+Mins Last Season]]/SOU[[#This Row],[Possible 60+Mins Last Season]] * (38-MAX(GameRecord[GW]))/38) + (SOU[[#This Row],[60+Mins This Season]]/SOU[[#This Row],[Possible 60+Mins This Season]] * (MAX(GameRecord[GW]))/38)</f>
        <v>0.5</v>
      </c>
      <c r="E280" s="12">
        <v>0.08</v>
      </c>
      <c r="F280" s="12">
        <v>0.2</v>
      </c>
      <c r="G280" s="12">
        <v>0.19704433497536944</v>
      </c>
      <c r="H280" s="11">
        <v>19</v>
      </c>
      <c r="I280" s="11">
        <v>38</v>
      </c>
      <c r="J280" s="11"/>
      <c r="K280" s="11"/>
      <c r="L280" s="11"/>
      <c r="M280" s="11"/>
      <c r="N280" s="11">
        <v>1</v>
      </c>
      <c r="O280" s="11"/>
      <c r="P280" s="12">
        <f>SOU[[#This Row],[xPoints Av.]]*SOU[[#This Row],[Regularity]]</f>
        <v>1.5985221674876848</v>
      </c>
      <c r="Q280" s="11" t="s">
        <v>20</v>
      </c>
    </row>
    <row r="281" spans="1:17" ht="30" customHeight="1" x14ac:dyDescent="0.45">
      <c r="A281" s="14" t="s">
        <v>367</v>
      </c>
      <c r="B281" s="11" t="s">
        <v>75</v>
      </c>
      <c r="C28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3.3343003412969283</v>
      </c>
      <c r="D281" s="12">
        <f>(SOU[[#This Row],[60+Mins Last Season]]/SOU[[#This Row],[Possible 60+Mins Last Season]] * (38-MAX(GameRecord[GW]))/38) + (SOU[[#This Row],[60+Mins This Season]]/SOU[[#This Row],[Possible 60+Mins This Season]] * (MAX(GameRecord[GW]))/38)</f>
        <v>0.4375</v>
      </c>
      <c r="E281" s="12">
        <v>0.17</v>
      </c>
      <c r="F281" s="12">
        <v>0.1</v>
      </c>
      <c r="G281" s="12">
        <v>0.18430034129692832</v>
      </c>
      <c r="H281" s="11">
        <v>14</v>
      </c>
      <c r="I281" s="11">
        <v>32</v>
      </c>
      <c r="J281" s="11"/>
      <c r="K281" s="11"/>
      <c r="L281" s="11"/>
      <c r="M281" s="11"/>
      <c r="N281" s="11">
        <v>1</v>
      </c>
      <c r="O281" s="11"/>
      <c r="P281" s="12">
        <f>SOU[[#This Row],[xPoints Av.]]*SOU[[#This Row],[Regularity]]</f>
        <v>1.4587563993174062</v>
      </c>
      <c r="Q281" s="11" t="s">
        <v>20</v>
      </c>
    </row>
    <row r="282" spans="1:17" ht="30" customHeight="1" x14ac:dyDescent="0.45">
      <c r="A282" s="11" t="s">
        <v>356</v>
      </c>
      <c r="B282" s="11" t="s">
        <v>62</v>
      </c>
      <c r="C28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2.6315789473684212</v>
      </c>
      <c r="D282" s="12">
        <f>(SOU[[#This Row],[60+Mins Last Season]]/SOU[[#This Row],[Possible 60+Mins Last Season]] * (38-MAX(GameRecord[GW]))/38) + (SOU[[#This Row],[60+Mins This Season]]/SOU[[#This Row],[Possible 60+Mins This Season]] * (MAX(GameRecord[GW]))/38)</f>
        <v>0.54285714285714282</v>
      </c>
      <c r="E282" s="12">
        <v>0</v>
      </c>
      <c r="F282" s="12">
        <v>0</v>
      </c>
      <c r="G282" s="12">
        <v>0.15789473684210525</v>
      </c>
      <c r="H282" s="11">
        <v>19</v>
      </c>
      <c r="I282" s="11">
        <v>35</v>
      </c>
      <c r="J282" s="11"/>
      <c r="K282" s="11"/>
      <c r="L282" s="11"/>
      <c r="M282" s="11"/>
      <c r="N282" s="11">
        <v>1</v>
      </c>
      <c r="O282" s="11"/>
      <c r="P282" s="12">
        <f>SOU[[#This Row],[xPoints Av.]]*SOU[[#This Row],[Regularity]]</f>
        <v>1.4285714285714286</v>
      </c>
      <c r="Q282" s="11" t="s">
        <v>20</v>
      </c>
    </row>
    <row r="283" spans="1:17" ht="30" customHeight="1" x14ac:dyDescent="0.45">
      <c r="A283" s="11" t="s">
        <v>357</v>
      </c>
      <c r="B283" s="11" t="s">
        <v>62</v>
      </c>
      <c r="C28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3.1764705882352944</v>
      </c>
      <c r="D283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3" s="12">
        <v>0</v>
      </c>
      <c r="F283" s="12">
        <v>0</v>
      </c>
      <c r="G283" s="12">
        <v>0.29411764705882354</v>
      </c>
      <c r="H283" s="11">
        <v>17</v>
      </c>
      <c r="I283" s="11">
        <v>38</v>
      </c>
      <c r="J283" s="11"/>
      <c r="K283" s="11"/>
      <c r="L283" s="11"/>
      <c r="M283" s="11"/>
      <c r="N283" s="11">
        <v>1</v>
      </c>
      <c r="O283" s="11"/>
      <c r="P283" s="12">
        <f>SOU[[#This Row],[xPoints Av.]]*SOU[[#This Row],[Regularity]]</f>
        <v>1.4210526315789476</v>
      </c>
      <c r="Q283" s="11" t="s">
        <v>20</v>
      </c>
    </row>
    <row r="284" spans="1:17" ht="30" customHeight="1" x14ac:dyDescent="0.45">
      <c r="A284" s="14" t="s">
        <v>371</v>
      </c>
      <c r="B284" s="11" t="s">
        <v>84</v>
      </c>
      <c r="C28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3.38</v>
      </c>
      <c r="D284" s="12">
        <f>(SOU[[#This Row],[60+Mins Last Season]]/SOU[[#This Row],[Possible 60+Mins Last Season]] * (38-MAX(GameRecord[GW]))/38) + (SOU[[#This Row],[60+Mins This Season]]/SOU[[#This Row],[Possible 60+Mins This Season]] * (MAX(GameRecord[GW]))/38)</f>
        <v>0.39473684210526316</v>
      </c>
      <c r="E284" s="12">
        <v>0.27</v>
      </c>
      <c r="F284" s="12">
        <v>0.1</v>
      </c>
      <c r="G284" s="12">
        <v>0.255500354861604</v>
      </c>
      <c r="H284" s="11">
        <v>15</v>
      </c>
      <c r="I284" s="11">
        <v>38</v>
      </c>
      <c r="J284" s="11"/>
      <c r="K284" s="11"/>
      <c r="L284" s="11"/>
      <c r="M284" s="11"/>
      <c r="N284" s="11">
        <v>1</v>
      </c>
      <c r="O284" s="11"/>
      <c r="P284" s="12">
        <f>SOU[[#This Row],[xPoints Av.]]*SOU[[#This Row],[Regularity]]</f>
        <v>1.3342105263157895</v>
      </c>
      <c r="Q284" s="11" t="s">
        <v>20</v>
      </c>
    </row>
    <row r="285" spans="1:17" ht="30" customHeight="1" x14ac:dyDescent="0.45">
      <c r="A285" s="11" t="s">
        <v>362</v>
      </c>
      <c r="B285" s="11" t="s">
        <v>64</v>
      </c>
      <c r="C28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2.966255397902529</v>
      </c>
      <c r="D285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5" s="12">
        <v>0.04</v>
      </c>
      <c r="F285" s="12">
        <v>0.02</v>
      </c>
      <c r="G285" s="12">
        <v>0.1665638494756323</v>
      </c>
      <c r="H285" s="11">
        <v>17</v>
      </c>
      <c r="I285" s="11">
        <v>38</v>
      </c>
      <c r="J285" s="11"/>
      <c r="K285" s="11"/>
      <c r="L285" s="11"/>
      <c r="M285" s="11"/>
      <c r="N285" s="11">
        <v>1</v>
      </c>
      <c r="O285" s="11"/>
      <c r="P285" s="12">
        <f>SOU[[#This Row],[xPoints Av.]]*SOU[[#This Row],[Regularity]]</f>
        <v>1.3270089937984999</v>
      </c>
      <c r="Q285" s="11" t="s">
        <v>20</v>
      </c>
    </row>
    <row r="286" spans="1:17" ht="30" customHeight="1" x14ac:dyDescent="0.45">
      <c r="A286" s="11" t="s">
        <v>372</v>
      </c>
      <c r="B286" s="11" t="s">
        <v>64</v>
      </c>
      <c r="C28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2.6373509933774835</v>
      </c>
      <c r="D286" s="12">
        <f>(SOU[[#This Row],[60+Mins Last Season]]/SOU[[#This Row],[Possible 60+Mins Last Season]] * (38-MAX(GameRecord[GW]))/38) + (SOU[[#This Row],[60+Mins This Season]]/SOU[[#This Row],[Possible 60+Mins This Season]] * (MAX(GameRecord[GW]))/38)</f>
        <v>0.36</v>
      </c>
      <c r="E286" s="12">
        <v>0.03</v>
      </c>
      <c r="F286" s="12">
        <v>0.02</v>
      </c>
      <c r="G286" s="12">
        <v>9.9337748344370869E-2</v>
      </c>
      <c r="H286" s="18">
        <v>9</v>
      </c>
      <c r="I286" s="18">
        <v>25</v>
      </c>
      <c r="J286" s="11"/>
      <c r="K286" s="11"/>
      <c r="L286" s="11"/>
      <c r="M286" s="11"/>
      <c r="N286" s="11">
        <v>1</v>
      </c>
      <c r="O286" s="11"/>
      <c r="P286" s="12">
        <f>SOU[[#This Row],[xPoints Av.]]*SOU[[#This Row],[Regularity]]</f>
        <v>0.94944635761589402</v>
      </c>
      <c r="Q286" s="11" t="s">
        <v>20</v>
      </c>
    </row>
    <row r="287" spans="1:17" ht="30" customHeight="1" x14ac:dyDescent="0.45">
      <c r="A287" s="11" t="s">
        <v>368</v>
      </c>
      <c r="B287" s="11" t="s">
        <v>75</v>
      </c>
      <c r="C28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2.5085826771653545</v>
      </c>
      <c r="D287" s="12">
        <f>(SOU[[#This Row],[60+Mins Last Season]]/SOU[[#This Row],[Possible 60+Mins Last Season]] * (38-MAX(GameRecord[GW]))/38) + (SOU[[#This Row],[60+Mins This Season]]/SOU[[#This Row],[Possible 60+Mins This Season]] * (MAX(GameRecord[GW]))/38)</f>
        <v>0.23684210526315788</v>
      </c>
      <c r="E287" s="12">
        <v>0.03</v>
      </c>
      <c r="F287" s="12">
        <v>0.09</v>
      </c>
      <c r="G287" s="12">
        <v>8.8582677165354326E-2</v>
      </c>
      <c r="H287" s="11">
        <v>9</v>
      </c>
      <c r="I287" s="11">
        <v>38</v>
      </c>
      <c r="J287" s="11"/>
      <c r="K287" s="11"/>
      <c r="L287" s="11"/>
      <c r="M287" s="11"/>
      <c r="N287" s="11">
        <v>1</v>
      </c>
      <c r="O287" s="11"/>
      <c r="P287" s="12">
        <f>SOU[[#This Row],[xPoints Av.]]*SOU[[#This Row],[Regularity]]</f>
        <v>0.59413800248653126</v>
      </c>
      <c r="Q287" s="11" t="s">
        <v>20</v>
      </c>
    </row>
    <row r="289" spans="1:17" ht="30" customHeight="1" x14ac:dyDescent="0.35">
      <c r="A289" s="24" t="s">
        <v>373</v>
      </c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</row>
    <row r="290" spans="1:17" ht="30" customHeight="1" x14ac:dyDescent="0.35">
      <c r="A290" s="2" t="s">
        <v>52</v>
      </c>
      <c r="B290" s="2" t="s">
        <v>86</v>
      </c>
      <c r="C290" s="2" t="s">
        <v>59</v>
      </c>
      <c r="D290" s="2" t="s">
        <v>54</v>
      </c>
      <c r="E290" s="2" t="s">
        <v>55</v>
      </c>
      <c r="F290" s="2" t="s">
        <v>56</v>
      </c>
      <c r="G290" s="2" t="s">
        <v>65</v>
      </c>
      <c r="H290" s="2" t="s">
        <v>88</v>
      </c>
      <c r="I290" s="2" t="s">
        <v>89</v>
      </c>
      <c r="J290" s="2" t="s">
        <v>57</v>
      </c>
      <c r="K290" s="2" t="s">
        <v>58</v>
      </c>
      <c r="L290" s="2" t="s">
        <v>66</v>
      </c>
      <c r="M290" s="2" t="s">
        <v>87</v>
      </c>
      <c r="N290" s="2" t="s">
        <v>90</v>
      </c>
      <c r="O290" s="2" t="s">
        <v>67</v>
      </c>
      <c r="P290" s="2" t="s">
        <v>53</v>
      </c>
      <c r="Q290" s="2" t="s">
        <v>0</v>
      </c>
    </row>
    <row r="291" spans="1:17" ht="30" customHeight="1" x14ac:dyDescent="0.45">
      <c r="A291" s="11" t="s">
        <v>394</v>
      </c>
      <c r="B291" s="11" t="s">
        <v>84</v>
      </c>
      <c r="C29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5.13</v>
      </c>
      <c r="D291" s="12">
        <f>(TOT[[#This Row],[60+Mins Last Season]]/TOT[[#This Row],[Possible 60+Mins Last Season]] * (38-MAX(GameRecord[GW]))/38) + (TOT[[#This Row],[60+Mins This Season]]/TOT[[#This Row],[Possible 60+Mins This Season]] * (MAX(GameRecord[GW]))/38)</f>
        <v>0.94736842105263153</v>
      </c>
      <c r="E291" s="12">
        <v>0.57999999999999996</v>
      </c>
      <c r="F291" s="12">
        <v>0.27</v>
      </c>
      <c r="G291" s="12">
        <v>0.38997214484679665</v>
      </c>
      <c r="H291" s="18">
        <v>36</v>
      </c>
      <c r="I291" s="18">
        <v>38</v>
      </c>
      <c r="J291" s="11"/>
      <c r="K291" s="11"/>
      <c r="L291" s="11"/>
      <c r="M291" s="11"/>
      <c r="N291" s="11">
        <v>1</v>
      </c>
      <c r="O291" s="11"/>
      <c r="P291" s="12">
        <f>TOT[[#This Row],[xPoints Av.]]*TOT[[#This Row],[Regularity]]</f>
        <v>4.8599999999999994</v>
      </c>
      <c r="Q291" s="11" t="s">
        <v>10</v>
      </c>
    </row>
    <row r="292" spans="1:17" ht="30" customHeight="1" x14ac:dyDescent="0.45">
      <c r="A292" s="11" t="s">
        <v>386</v>
      </c>
      <c r="B292" s="11" t="s">
        <v>75</v>
      </c>
      <c r="C29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5.4283848454636097</v>
      </c>
      <c r="D292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2" s="12">
        <v>0.5</v>
      </c>
      <c r="F292" s="12">
        <v>0.13</v>
      </c>
      <c r="G292" s="12">
        <v>0.53838484546360921</v>
      </c>
      <c r="H292" s="11">
        <v>35</v>
      </c>
      <c r="I292" s="11">
        <v>35</v>
      </c>
      <c r="J292" s="11"/>
      <c r="K292" s="11"/>
      <c r="L292" s="11"/>
      <c r="M292" s="11"/>
      <c r="N292" s="11">
        <v>1</v>
      </c>
      <c r="O292" s="11"/>
      <c r="P292" s="12">
        <f>TOT[[#This Row],[xPoints Av.]]*TOT[[#This Row],[Regularity]]</f>
        <v>5.4283848454636097</v>
      </c>
      <c r="Q292" s="11" t="s">
        <v>10</v>
      </c>
    </row>
    <row r="293" spans="1:17" ht="30" customHeight="1" x14ac:dyDescent="0.45">
      <c r="A293" s="11" t="s">
        <v>384</v>
      </c>
      <c r="B293" s="11" t="s">
        <v>64</v>
      </c>
      <c r="C29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5.0850095602294463</v>
      </c>
      <c r="D293" s="12">
        <f>(TOT[[#This Row],[60+Mins Last Season]]/TOT[[#This Row],[Possible 60+Mins Last Season]] * (38-MAX(GameRecord[GW]))/38) + (TOT[[#This Row],[60+Mins This Season]]/TOT[[#This Row],[Possible 60+Mins This Season]] * (MAX(GameRecord[GW]))/38)</f>
        <v>0.84615384615384615</v>
      </c>
      <c r="E293" s="12">
        <v>0.03</v>
      </c>
      <c r="F293" s="12">
        <v>0.28000000000000003</v>
      </c>
      <c r="G293" s="12">
        <v>0.51625239005736134</v>
      </c>
      <c r="H293" s="11">
        <v>11</v>
      </c>
      <c r="I293" s="11">
        <v>13</v>
      </c>
      <c r="J293" s="11"/>
      <c r="K293" s="11"/>
      <c r="L293" s="11"/>
      <c r="M293" s="11"/>
      <c r="N293" s="11">
        <v>1</v>
      </c>
      <c r="O293" s="11"/>
      <c r="P293" s="12">
        <f>TOT[[#This Row],[xPoints Av.]]*TOT[[#This Row],[Regularity]]</f>
        <v>4.3027003971172233</v>
      </c>
      <c r="Q293" s="11" t="s">
        <v>10</v>
      </c>
    </row>
    <row r="294" spans="1:17" ht="30" customHeight="1" x14ac:dyDescent="0.45">
      <c r="A294" s="11" t="s">
        <v>378</v>
      </c>
      <c r="B294" s="11" t="s">
        <v>64</v>
      </c>
      <c r="C29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4.2956105503093456</v>
      </c>
      <c r="D294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4" s="12">
        <v>0.05</v>
      </c>
      <c r="F294" s="12">
        <v>0.04</v>
      </c>
      <c r="G294" s="12">
        <v>0.46890263757733641</v>
      </c>
      <c r="H294" s="11">
        <v>34</v>
      </c>
      <c r="I294" s="11">
        <v>34</v>
      </c>
      <c r="J294" s="11"/>
      <c r="K294" s="11"/>
      <c r="L294" s="11"/>
      <c r="M294" s="11"/>
      <c r="N294" s="11">
        <v>1</v>
      </c>
      <c r="O294" s="11"/>
      <c r="P294" s="12">
        <f>TOT[[#This Row],[xPoints Av.]]*TOT[[#This Row],[Regularity]]</f>
        <v>4.2956105503093456</v>
      </c>
      <c r="Q294" s="11" t="s">
        <v>10</v>
      </c>
    </row>
    <row r="295" spans="1:17" ht="30" customHeight="1" x14ac:dyDescent="0.45">
      <c r="A295" s="11" t="s">
        <v>388</v>
      </c>
      <c r="B295" s="11" t="s">
        <v>75</v>
      </c>
      <c r="C29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4.5633677521842735</v>
      </c>
      <c r="D295" s="12">
        <f>(TOT[[#This Row],[60+Mins Last Season]]/TOT[[#This Row],[Possible 60+Mins Last Season]] * (38-MAX(GameRecord[GW]))/38) + (TOT[[#This Row],[60+Mins This Season]]/TOT[[#This Row],[Possible 60+Mins This Season]] * (MAX(GameRecord[GW]))/38)</f>
        <v>0.83333333333333337</v>
      </c>
      <c r="E295" s="12">
        <v>0.21</v>
      </c>
      <c r="F295" s="12">
        <v>0.28999999999999998</v>
      </c>
      <c r="G295" s="12">
        <v>0.64336775218427322</v>
      </c>
      <c r="H295" s="11">
        <v>15</v>
      </c>
      <c r="I295" s="11">
        <v>18</v>
      </c>
      <c r="J295" s="11"/>
      <c r="K295" s="11"/>
      <c r="L295" s="11"/>
      <c r="M295" s="11"/>
      <c r="N295" s="11">
        <v>1</v>
      </c>
      <c r="O295" s="11"/>
      <c r="P295" s="12">
        <f>TOT[[#This Row],[xPoints Av.]]*TOT[[#This Row],[Regularity]]</f>
        <v>3.8028064601535614</v>
      </c>
      <c r="Q295" s="11" t="s">
        <v>10</v>
      </c>
    </row>
    <row r="296" spans="1:17" ht="30" customHeight="1" x14ac:dyDescent="0.45">
      <c r="A296" s="11" t="s">
        <v>374</v>
      </c>
      <c r="B296" s="11" t="s">
        <v>62</v>
      </c>
      <c r="C29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3.6842105263157894</v>
      </c>
      <c r="D296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6" s="12">
        <v>0</v>
      </c>
      <c r="F296" s="12">
        <v>0.01</v>
      </c>
      <c r="G296" s="12">
        <v>0.42105263157894735</v>
      </c>
      <c r="H296" s="11">
        <v>38</v>
      </c>
      <c r="I296" s="11">
        <v>38</v>
      </c>
      <c r="J296" s="11"/>
      <c r="K296" s="11"/>
      <c r="L296" s="11"/>
      <c r="M296" s="11"/>
      <c r="N296" s="11">
        <v>1</v>
      </c>
      <c r="O296" s="11"/>
      <c r="P296" s="12">
        <f>TOT[[#This Row],[xPoints Av.]]*TOT[[#This Row],[Regularity]]</f>
        <v>3.6842105263157894</v>
      </c>
      <c r="Q296" s="11" t="s">
        <v>10</v>
      </c>
    </row>
    <row r="297" spans="1:17" ht="30" customHeight="1" x14ac:dyDescent="0.45">
      <c r="A297" s="11" t="s">
        <v>381</v>
      </c>
      <c r="B297" s="11" t="s">
        <v>64</v>
      </c>
      <c r="C29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4.3575635407537252</v>
      </c>
      <c r="D297" s="12">
        <f>(TOT[[#This Row],[60+Mins Last Season]]/TOT[[#This Row],[Possible 60+Mins Last Season]] * (38-MAX(GameRecord[GW]))/38) + (TOT[[#This Row],[60+Mins This Season]]/TOT[[#This Row],[Possible 60+Mins This Season]] * (MAX(GameRecord[GW]))/38)</f>
        <v>0.78125</v>
      </c>
      <c r="E297" s="12">
        <v>0.08</v>
      </c>
      <c r="F297" s="12">
        <v>0.1</v>
      </c>
      <c r="G297" s="12">
        <v>0.39439088518843124</v>
      </c>
      <c r="H297" s="11">
        <v>25</v>
      </c>
      <c r="I297" s="11">
        <v>32</v>
      </c>
      <c r="J297" s="11"/>
      <c r="K297" s="11"/>
      <c r="L297" s="11"/>
      <c r="M297" s="11"/>
      <c r="N297" s="11">
        <v>1</v>
      </c>
      <c r="O297" s="11"/>
      <c r="P297" s="12">
        <f>TOT[[#This Row],[xPoints Av.]]*TOT[[#This Row],[Regularity]]</f>
        <v>3.404346516213848</v>
      </c>
      <c r="Q297" s="11" t="s">
        <v>10</v>
      </c>
    </row>
    <row r="298" spans="1:17" ht="30" customHeight="1" x14ac:dyDescent="0.45">
      <c r="A298" s="11" t="s">
        <v>380</v>
      </c>
      <c r="B298" s="11" t="s">
        <v>64</v>
      </c>
      <c r="C29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5.0127899686520374</v>
      </c>
      <c r="D298" s="12">
        <f>(TOT[[#This Row],[60+Mins Last Season]]/TOT[[#This Row],[Possible 60+Mins Last Season]] * (38-MAX(GameRecord[GW]))/38) + (TOT[[#This Row],[60+Mins This Season]]/TOT[[#This Row],[Possible 60+Mins This Season]] * (MAX(GameRecord[GW]))/38)</f>
        <v>0.65625</v>
      </c>
      <c r="E298" s="12">
        <v>0.14000000000000001</v>
      </c>
      <c r="F298" s="12">
        <v>0.16</v>
      </c>
      <c r="G298" s="12">
        <v>0.42319749216300945</v>
      </c>
      <c r="H298" s="11">
        <v>21</v>
      </c>
      <c r="I298" s="11">
        <v>32</v>
      </c>
      <c r="J298" s="11"/>
      <c r="K298" s="11"/>
      <c r="L298" s="11"/>
      <c r="M298" s="11"/>
      <c r="N298" s="11">
        <v>1</v>
      </c>
      <c r="O298" s="11"/>
      <c r="P298" s="12">
        <f>TOT[[#This Row],[xPoints Av.]]*TOT[[#This Row],[Regularity]]</f>
        <v>3.2896434169278996</v>
      </c>
      <c r="Q298" s="11" t="s">
        <v>10</v>
      </c>
    </row>
    <row r="299" spans="1:17" ht="30" customHeight="1" x14ac:dyDescent="0.45">
      <c r="A299" s="11" t="s">
        <v>379</v>
      </c>
      <c r="B299" s="11" t="s">
        <v>64</v>
      </c>
      <c r="C29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4.3027985810011824</v>
      </c>
      <c r="D299" s="12">
        <f>(TOT[[#This Row],[60+Mins Last Season]]/TOT[[#This Row],[Possible 60+Mins Last Season]] * (38-MAX(GameRecord[GW]))/38) + (TOT[[#This Row],[60+Mins This Season]]/TOT[[#This Row],[Possible 60+Mins This Season]] * (MAX(GameRecord[GW]))/38)</f>
        <v>0.73684210526315785</v>
      </c>
      <c r="E299" s="12">
        <v>0.09</v>
      </c>
      <c r="F299" s="12">
        <v>0.02</v>
      </c>
      <c r="G299" s="12">
        <v>0.42569964525029563</v>
      </c>
      <c r="H299" s="11">
        <v>28</v>
      </c>
      <c r="I299" s="11">
        <v>38</v>
      </c>
      <c r="J299" s="11"/>
      <c r="K299" s="11"/>
      <c r="L299" s="11"/>
      <c r="M299" s="11"/>
      <c r="N299" s="11">
        <v>1</v>
      </c>
      <c r="O299" s="11"/>
      <c r="P299" s="12">
        <f>TOT[[#This Row],[xPoints Av.]]*TOT[[#This Row],[Regularity]]</f>
        <v>3.1704831649482395</v>
      </c>
      <c r="Q299" s="11" t="s">
        <v>10</v>
      </c>
    </row>
    <row r="300" spans="1:17" ht="30" customHeight="1" x14ac:dyDescent="0.45">
      <c r="A300" s="11" t="s">
        <v>383</v>
      </c>
      <c r="B300" s="11" t="s">
        <v>64</v>
      </c>
      <c r="C300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3.1561388286334058</v>
      </c>
      <c r="D300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300" s="12">
        <v>0.02</v>
      </c>
      <c r="F300" s="12">
        <v>0.02</v>
      </c>
      <c r="G300" s="12">
        <v>0.24403470715835143</v>
      </c>
      <c r="H300" s="11">
        <v>20</v>
      </c>
      <c r="I300" s="11">
        <v>20</v>
      </c>
      <c r="J300" s="11"/>
      <c r="K300" s="11"/>
      <c r="L300" s="11"/>
      <c r="M300" s="11"/>
      <c r="N300" s="11">
        <v>1</v>
      </c>
      <c r="O300" s="11"/>
      <c r="P300" s="12">
        <f>TOT[[#This Row],[xPoints Av.]]*TOT[[#This Row],[Regularity]]</f>
        <v>3.1561388286334058</v>
      </c>
      <c r="Q300" s="11" t="s">
        <v>10</v>
      </c>
    </row>
    <row r="301" spans="1:17" ht="30" customHeight="1" x14ac:dyDescent="0.45">
      <c r="A301" s="11" t="s">
        <v>391</v>
      </c>
      <c r="B301" s="11" t="s">
        <v>75</v>
      </c>
      <c r="C30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3.3955882352941176</v>
      </c>
      <c r="D301" s="12">
        <f>(TOT[[#This Row],[60+Mins Last Season]]/TOT[[#This Row],[Possible 60+Mins Last Season]] * (38-MAX(GameRecord[GW]))/38) + (TOT[[#This Row],[60+Mins This Season]]/TOT[[#This Row],[Possible 60+Mins This Season]] * (MAX(GameRecord[GW]))/38)</f>
        <v>0.88235294117647067</v>
      </c>
      <c r="E301" s="12">
        <v>0.04</v>
      </c>
      <c r="F301" s="12">
        <v>0.2</v>
      </c>
      <c r="G301" s="12">
        <v>0.59558823529411764</v>
      </c>
      <c r="H301" s="18">
        <v>15</v>
      </c>
      <c r="I301" s="18">
        <v>17</v>
      </c>
      <c r="J301" s="11"/>
      <c r="K301" s="11"/>
      <c r="L301" s="11"/>
      <c r="M301" s="11"/>
      <c r="N301" s="11">
        <v>1</v>
      </c>
      <c r="O301" s="11"/>
      <c r="P301" s="12">
        <f>TOT[[#This Row],[xPoints Av.]]*TOT[[#This Row],[Regularity]]</f>
        <v>2.9961072664359865</v>
      </c>
      <c r="Q301" s="11" t="s">
        <v>10</v>
      </c>
    </row>
    <row r="302" spans="1:17" ht="30" customHeight="1" x14ac:dyDescent="0.45">
      <c r="A302" s="11" t="s">
        <v>387</v>
      </c>
      <c r="B302" s="11" t="s">
        <v>75</v>
      </c>
      <c r="C30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3.0105632040050061</v>
      </c>
      <c r="D302" s="12">
        <f>(TOT[[#This Row],[60+Mins Last Season]]/TOT[[#This Row],[Possible 60+Mins Last Season]] * (38-MAX(GameRecord[GW]))/38) + (TOT[[#This Row],[60+Mins This Season]]/TOT[[#This Row],[Possible 60+Mins This Season]] * (MAX(GameRecord[GW]))/38)</f>
        <v>0.92105263157894735</v>
      </c>
      <c r="E302" s="12">
        <v>7.0000000000000007E-2</v>
      </c>
      <c r="F302" s="12">
        <v>7.0000000000000007E-2</v>
      </c>
      <c r="G302" s="12">
        <v>0.45056320400500621</v>
      </c>
      <c r="H302" s="11">
        <v>35</v>
      </c>
      <c r="I302" s="11">
        <v>38</v>
      </c>
      <c r="J302" s="11"/>
      <c r="K302" s="11"/>
      <c r="L302" s="11"/>
      <c r="M302" s="11"/>
      <c r="N302" s="11">
        <v>1</v>
      </c>
      <c r="O302" s="11"/>
      <c r="P302" s="12">
        <f>TOT[[#This Row],[xPoints Av.]]*TOT[[#This Row],[Regularity]]</f>
        <v>2.772887161583558</v>
      </c>
      <c r="Q302" s="11" t="s">
        <v>10</v>
      </c>
    </row>
    <row r="303" spans="1:17" ht="30" customHeight="1" x14ac:dyDescent="0.45">
      <c r="A303" s="11" t="s">
        <v>130</v>
      </c>
      <c r="B303" s="11" t="s">
        <v>64</v>
      </c>
      <c r="C30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4.9340221402214022</v>
      </c>
      <c r="D303" s="12">
        <f>(TOT[[#This Row],[60+Mins Last Season]]/TOT[[#This Row],[Possible 60+Mins Last Season]] * (38-MAX(GameRecord[GW]))/38) + (TOT[[#This Row],[60+Mins This Season]]/TOT[[#This Row],[Possible 60+Mins This Season]] * (MAX(GameRecord[GW]))/38)</f>
        <v>0.47222222222222215</v>
      </c>
      <c r="E303" s="12">
        <v>0.11</v>
      </c>
      <c r="F303" s="12">
        <v>0.02</v>
      </c>
      <c r="G303" s="12">
        <v>0.55350553505535061</v>
      </c>
      <c r="H303" s="11">
        <v>17</v>
      </c>
      <c r="I303" s="11">
        <v>36</v>
      </c>
      <c r="J303" s="11"/>
      <c r="K303" s="11"/>
      <c r="L303" s="11"/>
      <c r="M303" s="11"/>
      <c r="N303" s="11">
        <v>1</v>
      </c>
      <c r="O303" s="11"/>
      <c r="P303" s="12">
        <f>TOT[[#This Row],[xPoints Av.]]*TOT[[#This Row],[Regularity]]</f>
        <v>2.3299548995489952</v>
      </c>
      <c r="Q303" s="11" t="s">
        <v>10</v>
      </c>
    </row>
    <row r="304" spans="1:17" ht="30" customHeight="1" x14ac:dyDescent="0.45">
      <c r="A304" s="11" t="s">
        <v>392</v>
      </c>
      <c r="B304" s="11" t="s">
        <v>75</v>
      </c>
      <c r="C30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2.7849182763744427</v>
      </c>
      <c r="D304" s="12">
        <f>(TOT[[#This Row],[60+Mins Last Season]]/TOT[[#This Row],[Possible 60+Mins Last Season]] * (38-MAX(GameRecord[GW]))/38) + (TOT[[#This Row],[60+Mins This Season]]/TOT[[#This Row],[Possible 60+Mins This Season]] * (MAX(GameRecord[GW]))/38)</f>
        <v>0.77777777777777779</v>
      </c>
      <c r="E304" s="12">
        <v>0.02</v>
      </c>
      <c r="F304" s="12">
        <v>0.05</v>
      </c>
      <c r="G304" s="12">
        <v>0.53491827637444278</v>
      </c>
      <c r="H304" s="18">
        <v>14</v>
      </c>
      <c r="I304" s="18">
        <v>18</v>
      </c>
      <c r="J304" s="11"/>
      <c r="K304" s="11"/>
      <c r="L304" s="11"/>
      <c r="M304" s="11"/>
      <c r="N304" s="11">
        <v>1</v>
      </c>
      <c r="O304" s="11"/>
      <c r="P304" s="12">
        <f>TOT[[#This Row],[xPoints Av.]]*TOT[[#This Row],[Regularity]]</f>
        <v>2.1660475482912331</v>
      </c>
      <c r="Q304" s="11" t="s">
        <v>10</v>
      </c>
    </row>
    <row r="305" spans="1:17" ht="30" customHeight="1" x14ac:dyDescent="0.45">
      <c r="A305" s="11" t="s">
        <v>389</v>
      </c>
      <c r="B305" s="11" t="s">
        <v>75</v>
      </c>
      <c r="C30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4.068394781622235</v>
      </c>
      <c r="D305" s="12">
        <f>(TOT[[#This Row],[60+Mins Last Season]]/TOT[[#This Row],[Possible 60+Mins Last Season]] * (38-MAX(GameRecord[GW]))/38) + (TOT[[#This Row],[60+Mins This Season]]/TOT[[#This Row],[Possible 60+Mins This Season]] * (MAX(GameRecord[GW]))/38)</f>
        <v>0.51515151515151514</v>
      </c>
      <c r="E305" s="12">
        <v>0.17</v>
      </c>
      <c r="F305" s="12">
        <v>0.27</v>
      </c>
      <c r="G305" s="12">
        <v>0.40839478162223486</v>
      </c>
      <c r="H305" s="11">
        <v>17</v>
      </c>
      <c r="I305" s="11">
        <v>33</v>
      </c>
      <c r="J305" s="11"/>
      <c r="K305" s="11"/>
      <c r="L305" s="11"/>
      <c r="M305" s="11"/>
      <c r="N305" s="11">
        <v>1</v>
      </c>
      <c r="O305" s="11"/>
      <c r="P305" s="12">
        <f>TOT[[#This Row],[xPoints Av.]]*TOT[[#This Row],[Regularity]]</f>
        <v>2.0958397359872118</v>
      </c>
      <c r="Q305" s="11" t="s">
        <v>10</v>
      </c>
    </row>
    <row r="306" spans="1:17" ht="30" customHeight="1" x14ac:dyDescent="0.45">
      <c r="A306" s="11" t="s">
        <v>385</v>
      </c>
      <c r="B306" s="11" t="s">
        <v>64</v>
      </c>
      <c r="C30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4.8389795918367344</v>
      </c>
      <c r="D306" s="12">
        <f>(TOT[[#This Row],[60+Mins Last Season]]/TOT[[#This Row],[Possible 60+Mins Last Season]] * (38-MAX(GameRecord[GW]))/38) + (TOT[[#This Row],[60+Mins This Season]]/TOT[[#This Row],[Possible 60+Mins This Season]] * (MAX(GameRecord[GW]))/38)</f>
        <v>0.3888888888888889</v>
      </c>
      <c r="E306" s="12">
        <v>0.05</v>
      </c>
      <c r="F306" s="12">
        <v>0.03</v>
      </c>
      <c r="G306" s="12">
        <v>0.61224489795918369</v>
      </c>
      <c r="H306" s="11">
        <v>7</v>
      </c>
      <c r="I306" s="11">
        <v>18</v>
      </c>
      <c r="J306" s="11"/>
      <c r="K306" s="11"/>
      <c r="L306" s="11"/>
      <c r="M306" s="11"/>
      <c r="N306" s="11">
        <v>1</v>
      </c>
      <c r="O306" s="11"/>
      <c r="P306" s="12">
        <f>TOT[[#This Row],[xPoints Av.]]*TOT[[#This Row],[Regularity]]</f>
        <v>1.8818253968253968</v>
      </c>
      <c r="Q306" s="11" t="s">
        <v>10</v>
      </c>
    </row>
    <row r="307" spans="1:17" ht="30" customHeight="1" x14ac:dyDescent="0.45">
      <c r="A307" s="11" t="s">
        <v>382</v>
      </c>
      <c r="B307" s="11" t="s">
        <v>64</v>
      </c>
      <c r="C30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5.7899540757749719</v>
      </c>
      <c r="D307" s="12">
        <f>(TOT[[#This Row],[60+Mins Last Season]]/TOT[[#This Row],[Possible 60+Mins Last Season]] * (38-MAX(GameRecord[GW]))/38) + (TOT[[#This Row],[60+Mins This Season]]/TOT[[#This Row],[Possible 60+Mins This Season]] * (MAX(GameRecord[GW]))/38)</f>
        <v>0.2857142857142857</v>
      </c>
      <c r="E307" s="12">
        <v>0.32</v>
      </c>
      <c r="F307" s="12">
        <v>0.21</v>
      </c>
      <c r="G307" s="12">
        <v>0.30998851894374285</v>
      </c>
      <c r="H307" s="11">
        <v>8</v>
      </c>
      <c r="I307" s="11">
        <v>28</v>
      </c>
      <c r="J307" s="11"/>
      <c r="K307" s="11"/>
      <c r="L307" s="11"/>
      <c r="M307" s="11"/>
      <c r="N307" s="11">
        <v>1</v>
      </c>
      <c r="O307" s="11"/>
      <c r="P307" s="12">
        <f>TOT[[#This Row],[xPoints Av.]]*TOT[[#This Row],[Regularity]]</f>
        <v>1.6542725930785633</v>
      </c>
      <c r="Q307" s="11" t="s">
        <v>10</v>
      </c>
    </row>
    <row r="308" spans="1:17" ht="30" customHeight="1" x14ac:dyDescent="0.45">
      <c r="A308" s="11" t="s">
        <v>390</v>
      </c>
      <c r="B308" s="11" t="s">
        <v>75</v>
      </c>
      <c r="C30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6.2027007299270078</v>
      </c>
      <c r="D308" s="12">
        <f>(TOT[[#This Row],[60+Mins Last Season]]/TOT[[#This Row],[Possible 60+Mins Last Season]] * (38-MAX(GameRecord[GW]))/38) + (TOT[[#This Row],[60+Mins This Season]]/TOT[[#This Row],[Possible 60+Mins This Season]] * (MAX(GameRecord[GW]))/38)</f>
        <v>0.15384615384615385</v>
      </c>
      <c r="E308" s="12">
        <v>0.57999999999999996</v>
      </c>
      <c r="F308" s="12">
        <v>0.27</v>
      </c>
      <c r="G308" s="12">
        <v>0.49270072992700731</v>
      </c>
      <c r="H308" s="11">
        <v>4</v>
      </c>
      <c r="I308" s="11">
        <v>26</v>
      </c>
      <c r="J308" s="11"/>
      <c r="K308" s="11"/>
      <c r="L308" s="11"/>
      <c r="M308" s="11"/>
      <c r="N308" s="11">
        <v>1</v>
      </c>
      <c r="O308" s="11"/>
      <c r="P308" s="12">
        <f>TOT[[#This Row],[xPoints Av.]]*TOT[[#This Row],[Regularity]]</f>
        <v>0.95426165075800129</v>
      </c>
      <c r="Q308" s="11" t="s">
        <v>10</v>
      </c>
    </row>
    <row r="309" spans="1:17" ht="30" customHeight="1" x14ac:dyDescent="0.45">
      <c r="A309" s="11" t="s">
        <v>393</v>
      </c>
      <c r="B309" s="11" t="s">
        <v>75</v>
      </c>
      <c r="C30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2.5995575221238938</v>
      </c>
      <c r="D309" s="12">
        <f>(TOT[[#This Row],[60+Mins Last Season]]/TOT[[#This Row],[Possible 60+Mins Last Season]] * (38-MAX(GameRecord[GW]))/38) + (TOT[[#This Row],[60+Mins This Season]]/TOT[[#This Row],[Possible 60+Mins This Season]] * (MAX(GameRecord[GW]))/38)</f>
        <v>0.21052631578947367</v>
      </c>
      <c r="E309" s="12">
        <v>0.01</v>
      </c>
      <c r="F309" s="12">
        <v>0.15</v>
      </c>
      <c r="G309" s="12">
        <v>9.9557522123893807E-2</v>
      </c>
      <c r="H309" s="18">
        <v>8</v>
      </c>
      <c r="I309" s="18">
        <v>38</v>
      </c>
      <c r="J309" s="11"/>
      <c r="K309" s="11"/>
      <c r="L309" s="11"/>
      <c r="M309" s="11"/>
      <c r="N309" s="11">
        <v>1</v>
      </c>
      <c r="O309" s="11"/>
      <c r="P309" s="12">
        <f>TOT[[#This Row],[xPoints Av.]]*TOT[[#This Row],[Regularity]]</f>
        <v>0.54727526781555658</v>
      </c>
      <c r="Q309" s="11" t="s">
        <v>10</v>
      </c>
    </row>
    <row r="311" spans="1:17" ht="30" customHeight="1" x14ac:dyDescent="0.35">
      <c r="A311" s="24" t="s">
        <v>395</v>
      </c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</row>
    <row r="312" spans="1:17" ht="30" customHeight="1" x14ac:dyDescent="0.35">
      <c r="A312" s="2" t="s">
        <v>52</v>
      </c>
      <c r="B312" s="2" t="s">
        <v>86</v>
      </c>
      <c r="C312" s="2" t="s">
        <v>59</v>
      </c>
      <c r="D312" s="2" t="s">
        <v>54</v>
      </c>
      <c r="E312" s="2" t="s">
        <v>55</v>
      </c>
      <c r="F312" s="2" t="s">
        <v>56</v>
      </c>
      <c r="G312" s="2" t="s">
        <v>65</v>
      </c>
      <c r="H312" s="2" t="s">
        <v>88</v>
      </c>
      <c r="I312" s="2" t="s">
        <v>89</v>
      </c>
      <c r="J312" s="2" t="s">
        <v>57</v>
      </c>
      <c r="K312" s="2" t="s">
        <v>58</v>
      </c>
      <c r="L312" s="2" t="s">
        <v>66</v>
      </c>
      <c r="M312" s="2" t="s">
        <v>87</v>
      </c>
      <c r="N312" s="2" t="s">
        <v>90</v>
      </c>
      <c r="O312" s="2" t="s">
        <v>67</v>
      </c>
      <c r="P312" s="2" t="s">
        <v>53</v>
      </c>
      <c r="Q312" s="2" t="s">
        <v>0</v>
      </c>
    </row>
    <row r="313" spans="1:17" ht="30" customHeight="1" x14ac:dyDescent="0.45">
      <c r="A313" s="11" t="s">
        <v>405</v>
      </c>
      <c r="B313" s="11" t="s">
        <v>75</v>
      </c>
      <c r="C31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4.7010445262805494</v>
      </c>
      <c r="D313" s="12">
        <f>(WHU[[#This Row],[60+Mins Last Season]]/WHU[[#This Row],[Possible 60+Mins Last Season]] * (38-MAX(GameRecord[GW]))/38) + (WHU[[#This Row],[60+Mins This Season]]/WHU[[#This Row],[Possible 60+Mins This Season]] * (MAX(GameRecord[GW]))/38)</f>
        <v>0.86842105263157898</v>
      </c>
      <c r="E313" s="12">
        <v>0.39</v>
      </c>
      <c r="F313" s="12">
        <v>0.17</v>
      </c>
      <c r="G313" s="12">
        <v>0.24104452628054904</v>
      </c>
      <c r="H313" s="11">
        <v>33</v>
      </c>
      <c r="I313" s="11">
        <v>38</v>
      </c>
      <c r="J313" s="11"/>
      <c r="K313" s="11"/>
      <c r="L313" s="11"/>
      <c r="M313" s="11"/>
      <c r="N313" s="11">
        <v>1</v>
      </c>
      <c r="O313" s="11"/>
      <c r="P313" s="12">
        <f>WHU[[#This Row],[xPoints Av.]]*WHU[[#This Row],[Regularity]]</f>
        <v>4.0824860359804775</v>
      </c>
      <c r="Q313" s="11" t="s">
        <v>13</v>
      </c>
    </row>
    <row r="314" spans="1:17" ht="30" customHeight="1" x14ac:dyDescent="0.45">
      <c r="A314" s="11" t="s">
        <v>412</v>
      </c>
      <c r="B314" s="11" t="s">
        <v>84</v>
      </c>
      <c r="C31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4.03</v>
      </c>
      <c r="D314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4" s="12">
        <v>0.38</v>
      </c>
      <c r="F314" s="12">
        <v>0.17</v>
      </c>
      <c r="G314" s="12">
        <v>0.21176470588235294</v>
      </c>
      <c r="H314" s="11">
        <v>31</v>
      </c>
      <c r="I314" s="11">
        <v>38</v>
      </c>
      <c r="J314" s="11"/>
      <c r="K314" s="11"/>
      <c r="L314" s="11"/>
      <c r="M314" s="11"/>
      <c r="N314" s="11">
        <v>1</v>
      </c>
      <c r="O314" s="11"/>
      <c r="P314" s="12">
        <f>WHU[[#This Row],[xPoints Av.]]*WHU[[#This Row],[Regularity]]</f>
        <v>3.2876315789473685</v>
      </c>
      <c r="Q314" s="11" t="s">
        <v>13</v>
      </c>
    </row>
    <row r="315" spans="1:17" ht="30" customHeight="1" x14ac:dyDescent="0.45">
      <c r="A315" s="11" t="s">
        <v>404</v>
      </c>
      <c r="B315" s="11" t="s">
        <v>64</v>
      </c>
      <c r="C31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3.5326384364820846</v>
      </c>
      <c r="D315" s="12">
        <f>(WHU[[#This Row],[60+Mins Last Season]]/WHU[[#This Row],[Possible 60+Mins Last Season]] * (38-MAX(GameRecord[GW]))/38) + (WHU[[#This Row],[60+Mins This Season]]/WHU[[#This Row],[Possible 60+Mins This Season]] * (MAX(GameRecord[GW]))/38)</f>
        <v>0.90909090909090917</v>
      </c>
      <c r="E315" s="12">
        <v>0.06</v>
      </c>
      <c r="F315" s="12">
        <v>0</v>
      </c>
      <c r="G315" s="12">
        <v>0.29315960912052119</v>
      </c>
      <c r="H315" s="11">
        <v>10</v>
      </c>
      <c r="I315" s="11">
        <v>11</v>
      </c>
      <c r="J315" s="11"/>
      <c r="K315" s="11"/>
      <c r="L315" s="11"/>
      <c r="M315" s="11"/>
      <c r="N315" s="11">
        <v>1</v>
      </c>
      <c r="O315" s="11"/>
      <c r="P315" s="12">
        <f>WHU[[#This Row],[xPoints Av.]]*WHU[[#This Row],[Regularity]]</f>
        <v>3.2114894877109865</v>
      </c>
      <c r="Q315" s="11" t="s">
        <v>13</v>
      </c>
    </row>
    <row r="316" spans="1:17" ht="30" customHeight="1" x14ac:dyDescent="0.45">
      <c r="A316" s="11" t="s">
        <v>407</v>
      </c>
      <c r="B316" s="11" t="s">
        <v>75</v>
      </c>
      <c r="C31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3.6276028622540251</v>
      </c>
      <c r="D316" s="12">
        <f>(WHU[[#This Row],[60+Mins Last Season]]/WHU[[#This Row],[Possible 60+Mins Last Season]] * (38-MAX(GameRecord[GW]))/38) + (WHU[[#This Row],[60+Mins This Season]]/WHU[[#This Row],[Possible 60+Mins This Season]] * (MAX(GameRecord[GW]))/38)</f>
        <v>0.78947368421052633</v>
      </c>
      <c r="E316" s="12">
        <v>0.16</v>
      </c>
      <c r="F316" s="12">
        <v>0.19</v>
      </c>
      <c r="G316" s="12">
        <v>0.25760286225402501</v>
      </c>
      <c r="H316" s="11">
        <v>30</v>
      </c>
      <c r="I316" s="11">
        <v>38</v>
      </c>
      <c r="J316" s="11"/>
      <c r="K316" s="11"/>
      <c r="L316" s="11"/>
      <c r="M316" s="11"/>
      <c r="N316" s="11">
        <v>1</v>
      </c>
      <c r="O316" s="11"/>
      <c r="P316" s="12">
        <f>WHU[[#This Row],[xPoints Av.]]*WHU[[#This Row],[Regularity]]</f>
        <v>2.8638969965163357</v>
      </c>
      <c r="Q316" s="11" t="s">
        <v>13</v>
      </c>
    </row>
    <row r="317" spans="1:17" ht="30" customHeight="1" x14ac:dyDescent="0.45">
      <c r="A317" s="11" t="s">
        <v>400</v>
      </c>
      <c r="B317" s="11" t="s">
        <v>64</v>
      </c>
      <c r="C31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3.4748837209302326</v>
      </c>
      <c r="D317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7" s="12">
        <v>0.1</v>
      </c>
      <c r="F317" s="12">
        <v>0.03</v>
      </c>
      <c r="G317" s="12">
        <v>0.19622093023255813</v>
      </c>
      <c r="H317" s="11">
        <v>31</v>
      </c>
      <c r="I317" s="11">
        <v>38</v>
      </c>
      <c r="J317" s="11"/>
      <c r="K317" s="11"/>
      <c r="L317" s="11"/>
      <c r="M317" s="11"/>
      <c r="N317" s="11">
        <v>1</v>
      </c>
      <c r="O317" s="11"/>
      <c r="P317" s="12">
        <f>WHU[[#This Row],[xPoints Av.]]*WHU[[#This Row],[Regularity]]</f>
        <v>2.8347735618115055</v>
      </c>
      <c r="Q317" s="11" t="s">
        <v>13</v>
      </c>
    </row>
    <row r="318" spans="1:17" ht="30" customHeight="1" x14ac:dyDescent="0.45">
      <c r="A318" s="11" t="s">
        <v>408</v>
      </c>
      <c r="B318" s="11" t="s">
        <v>75</v>
      </c>
      <c r="C318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3.1564129369487097</v>
      </c>
      <c r="D318" s="12">
        <f>(WHU[[#This Row],[60+Mins Last Season]]/WHU[[#This Row],[Possible 60+Mins Last Season]] * (38-MAX(GameRecord[GW]))/38) + (WHU[[#This Row],[60+Mins This Season]]/WHU[[#This Row],[Possible 60+Mins This Season]] * (MAX(GameRecord[GW]))/38)</f>
        <v>0.89473684210526316</v>
      </c>
      <c r="E318" s="12">
        <v>0.16</v>
      </c>
      <c r="F318" s="12">
        <v>0.06</v>
      </c>
      <c r="G318" s="12">
        <v>0.17641293694870958</v>
      </c>
      <c r="H318" s="11">
        <v>34</v>
      </c>
      <c r="I318" s="11">
        <v>38</v>
      </c>
      <c r="J318" s="11"/>
      <c r="K318" s="11"/>
      <c r="L318" s="11"/>
      <c r="M318" s="11"/>
      <c r="N318" s="11">
        <v>1</v>
      </c>
      <c r="O318" s="11"/>
      <c r="P318" s="12">
        <f>WHU[[#This Row],[xPoints Av.]]*WHU[[#This Row],[Regularity]]</f>
        <v>2.8241589435856875</v>
      </c>
      <c r="Q318" s="11" t="s">
        <v>13</v>
      </c>
    </row>
    <row r="319" spans="1:17" ht="30" customHeight="1" x14ac:dyDescent="0.45">
      <c r="A319" s="11" t="s">
        <v>396</v>
      </c>
      <c r="B319" s="11" t="s">
        <v>62</v>
      </c>
      <c r="C319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2.8648648648648649</v>
      </c>
      <c r="D319" s="12">
        <f>(WHU[[#This Row],[60+Mins Last Season]]/WHU[[#This Row],[Possible 60+Mins Last Season]] * (38-MAX(GameRecord[GW]))/38) + (WHU[[#This Row],[60+Mins This Season]]/WHU[[#This Row],[Possible 60+Mins This Season]] * (MAX(GameRecord[GW]))/38)</f>
        <v>0.97368421052631582</v>
      </c>
      <c r="E319" s="12">
        <v>0</v>
      </c>
      <c r="F319" s="12">
        <v>0</v>
      </c>
      <c r="G319" s="12">
        <v>0.21621621621621623</v>
      </c>
      <c r="H319" s="11">
        <v>37</v>
      </c>
      <c r="I319" s="11">
        <v>38</v>
      </c>
      <c r="J319" s="11"/>
      <c r="K319" s="11"/>
      <c r="L319" s="11"/>
      <c r="M319" s="11"/>
      <c r="N319" s="11">
        <v>1</v>
      </c>
      <c r="O319" s="11"/>
      <c r="P319" s="12">
        <f>WHU[[#This Row],[xPoints Av.]]*WHU[[#This Row],[Regularity]]</f>
        <v>2.7894736842105265</v>
      </c>
      <c r="Q319" s="11" t="s">
        <v>13</v>
      </c>
    </row>
    <row r="320" spans="1:17" ht="30" customHeight="1" x14ac:dyDescent="0.45">
      <c r="A320" s="11" t="s">
        <v>406</v>
      </c>
      <c r="B320" s="11" t="s">
        <v>75</v>
      </c>
      <c r="C320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4.1946530989824238</v>
      </c>
      <c r="D320" s="12">
        <f>(WHU[[#This Row],[60+Mins Last Season]]/WHU[[#This Row],[Possible 60+Mins Last Season]] * (38-MAX(GameRecord[GW]))/38) + (WHU[[#This Row],[60+Mins This Season]]/WHU[[#This Row],[Possible 60+Mins This Season]] * (MAX(GameRecord[GW]))/38)</f>
        <v>0.63157894736842102</v>
      </c>
      <c r="E320" s="12">
        <v>0.25</v>
      </c>
      <c r="F320" s="12">
        <v>0.19</v>
      </c>
      <c r="G320" s="12">
        <v>0.37465309898242366</v>
      </c>
      <c r="H320" s="11">
        <v>24</v>
      </c>
      <c r="I320" s="11">
        <v>38</v>
      </c>
      <c r="J320" s="11"/>
      <c r="K320" s="11"/>
      <c r="L320" s="11"/>
      <c r="M320" s="11"/>
      <c r="N320" s="11">
        <v>1</v>
      </c>
      <c r="O320" s="11"/>
      <c r="P320" s="12">
        <f>WHU[[#This Row],[xPoints Av.]]*WHU[[#This Row],[Regularity]]</f>
        <v>2.6492545888310044</v>
      </c>
      <c r="Q320" s="11" t="s">
        <v>13</v>
      </c>
    </row>
    <row r="321" spans="1:17" ht="30" customHeight="1" x14ac:dyDescent="0.45">
      <c r="A321" s="11" t="s">
        <v>402</v>
      </c>
      <c r="B321" s="11" t="s">
        <v>64</v>
      </c>
      <c r="C321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3.1062175168431185</v>
      </c>
      <c r="D321" s="12">
        <f>(WHU[[#This Row],[60+Mins Last Season]]/WHU[[#This Row],[Possible 60+Mins Last Season]] * (38-MAX(GameRecord[GW]))/38) + (WHU[[#This Row],[60+Mins This Season]]/WHU[[#This Row],[Possible 60+Mins This Season]] * (MAX(GameRecord[GW]))/38)</f>
        <v>0.85185185185185197</v>
      </c>
      <c r="E321" s="12">
        <v>0.04</v>
      </c>
      <c r="F321" s="12">
        <v>0</v>
      </c>
      <c r="G321" s="12">
        <v>0.21655437921077961</v>
      </c>
      <c r="H321" s="11">
        <v>23</v>
      </c>
      <c r="I321" s="11">
        <v>27</v>
      </c>
      <c r="J321" s="11"/>
      <c r="K321" s="11"/>
      <c r="L321" s="11"/>
      <c r="M321" s="11"/>
      <c r="N321" s="11">
        <v>1</v>
      </c>
      <c r="O321" s="11"/>
      <c r="P321" s="12">
        <f>WHU[[#This Row],[xPoints Av.]]*WHU[[#This Row],[Regularity]]</f>
        <v>2.6460371439774719</v>
      </c>
      <c r="Q321" s="11" t="s">
        <v>13</v>
      </c>
    </row>
    <row r="322" spans="1:17" ht="30" customHeight="1" x14ac:dyDescent="0.45">
      <c r="A322" s="11" t="s">
        <v>399</v>
      </c>
      <c r="B322" s="11" t="s">
        <v>64</v>
      </c>
      <c r="C322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3.4644314013206161</v>
      </c>
      <c r="D322" s="12">
        <f>(WHU[[#This Row],[60+Mins Last Season]]/WHU[[#This Row],[Possible 60+Mins Last Season]] * (38-MAX(GameRecord[GW]))/38) + (WHU[[#This Row],[60+Mins This Season]]/WHU[[#This Row],[Possible 60+Mins This Season]] * (MAX(GameRecord[GW]))/38)</f>
        <v>0.76315789473684215</v>
      </c>
      <c r="E322" s="12">
        <v>0.03</v>
      </c>
      <c r="F322" s="12">
        <v>0.12</v>
      </c>
      <c r="G322" s="12">
        <v>0.23110785033015407</v>
      </c>
      <c r="H322" s="11">
        <v>29</v>
      </c>
      <c r="I322" s="11">
        <v>38</v>
      </c>
      <c r="J322" s="11"/>
      <c r="K322" s="11"/>
      <c r="L322" s="11"/>
      <c r="M322" s="11"/>
      <c r="N322" s="11">
        <v>1</v>
      </c>
      <c r="O322" s="11"/>
      <c r="P322" s="12">
        <f>WHU[[#This Row],[xPoints Av.]]*WHU[[#This Row],[Regularity]]</f>
        <v>2.6439081746920494</v>
      </c>
      <c r="Q322" s="11" t="s">
        <v>13</v>
      </c>
    </row>
    <row r="323" spans="1:17" ht="30" customHeight="1" x14ac:dyDescent="0.45">
      <c r="A323" s="11" t="s">
        <v>409</v>
      </c>
      <c r="B323" s="11" t="s">
        <v>75</v>
      </c>
      <c r="C32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2.4965575833857772</v>
      </c>
      <c r="D323" s="12">
        <f>(WHU[[#This Row],[60+Mins Last Season]]/WHU[[#This Row],[Possible 60+Mins Last Season]] * (38-MAX(GameRecord[GW]))/38) + (WHU[[#This Row],[60+Mins This Season]]/WHU[[#This Row],[Possible 60+Mins This Season]] * (MAX(GameRecord[GW]))/38)</f>
        <v>0.92105263157894735</v>
      </c>
      <c r="E323" s="12">
        <v>0.03</v>
      </c>
      <c r="F323" s="12">
        <v>0.04</v>
      </c>
      <c r="G323" s="12">
        <v>0.22655758338577722</v>
      </c>
      <c r="H323" s="11">
        <v>35</v>
      </c>
      <c r="I323" s="11">
        <v>38</v>
      </c>
      <c r="J323" s="11"/>
      <c r="K323" s="11"/>
      <c r="L323" s="11"/>
      <c r="M323" s="11"/>
      <c r="N323" s="11">
        <v>1</v>
      </c>
      <c r="O323" s="11"/>
      <c r="P323" s="12">
        <f>WHU[[#This Row],[xPoints Av.]]*WHU[[#This Row],[Regularity]]</f>
        <v>2.2994609320658475</v>
      </c>
      <c r="Q323" s="11" t="s">
        <v>13</v>
      </c>
    </row>
    <row r="324" spans="1:17" ht="30" customHeight="1" x14ac:dyDescent="0.45">
      <c r="A324" s="11" t="s">
        <v>401</v>
      </c>
      <c r="B324" s="11" t="s">
        <v>64</v>
      </c>
      <c r="C32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3.428704123244223</v>
      </c>
      <c r="D324" s="12">
        <f>(WHU[[#This Row],[60+Mins Last Season]]/WHU[[#This Row],[Possible 60+Mins Last Season]] * (38-MAX(GameRecord[GW]))/38) + (WHU[[#This Row],[60+Mins This Season]]/WHU[[#This Row],[Possible 60+Mins This Season]] * (MAX(GameRecord[GW]))/38)</f>
        <v>0.65789473684210531</v>
      </c>
      <c r="E324" s="12">
        <v>0.02</v>
      </c>
      <c r="F324" s="12">
        <v>0.11</v>
      </c>
      <c r="G324" s="12">
        <v>0.24467603081105574</v>
      </c>
      <c r="H324" s="11">
        <v>25</v>
      </c>
      <c r="I324" s="11">
        <v>38</v>
      </c>
      <c r="J324" s="11"/>
      <c r="K324" s="11"/>
      <c r="L324" s="11"/>
      <c r="M324" s="11"/>
      <c r="N324" s="11">
        <v>1</v>
      </c>
      <c r="O324" s="11"/>
      <c r="P324" s="12">
        <f>WHU[[#This Row],[xPoints Av.]]*WHU[[#This Row],[Regularity]]</f>
        <v>2.2557263968711996</v>
      </c>
      <c r="Q324" s="11" t="s">
        <v>13</v>
      </c>
    </row>
    <row r="325" spans="1:17" ht="30" customHeight="1" x14ac:dyDescent="0.45">
      <c r="A325" s="11" t="s">
        <v>410</v>
      </c>
      <c r="B325" s="11" t="s">
        <v>75</v>
      </c>
      <c r="C32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3.4425886325267303</v>
      </c>
      <c r="D325" s="12">
        <f>(WHU[[#This Row],[60+Mins Last Season]]/WHU[[#This Row],[Possible 60+Mins Last Season]] * (38-MAX(GameRecord[GW]))/38) + (WHU[[#This Row],[60+Mins This Season]]/WHU[[#This Row],[Possible 60+Mins This Season]] * (MAX(GameRecord[GW]))/38)</f>
        <v>0.47368421052631576</v>
      </c>
      <c r="E325" s="12">
        <v>0.17</v>
      </c>
      <c r="F325" s="12">
        <v>0.13</v>
      </c>
      <c r="G325" s="12">
        <v>0.20258863252673046</v>
      </c>
      <c r="H325" s="11">
        <v>18</v>
      </c>
      <c r="I325" s="11">
        <v>38</v>
      </c>
      <c r="J325" s="11"/>
      <c r="K325" s="11"/>
      <c r="L325" s="11"/>
      <c r="M325" s="11"/>
      <c r="N325" s="11">
        <v>1</v>
      </c>
      <c r="O325" s="11"/>
      <c r="P325" s="12">
        <f>WHU[[#This Row],[xPoints Av.]]*WHU[[#This Row],[Regularity]]</f>
        <v>1.6306998785652933</v>
      </c>
      <c r="Q325" s="11" t="s">
        <v>13</v>
      </c>
    </row>
    <row r="326" spans="1:17" ht="30" customHeight="1" x14ac:dyDescent="0.45">
      <c r="A326" s="11" t="s">
        <v>403</v>
      </c>
      <c r="B326" s="11" t="s">
        <v>64</v>
      </c>
      <c r="C32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2.9530851825340014</v>
      </c>
      <c r="D326" s="12">
        <f>(WHU[[#This Row],[60+Mins Last Season]]/WHU[[#This Row],[Possible 60+Mins Last Season]] * (38-MAX(GameRecord[GW]))/38) + (WHU[[#This Row],[60+Mins This Season]]/WHU[[#This Row],[Possible 60+Mins This Season]] * (MAX(GameRecord[GW]))/38)</f>
        <v>0.36842105263157893</v>
      </c>
      <c r="E326" s="12">
        <v>0.01</v>
      </c>
      <c r="F326" s="12">
        <v>0.04</v>
      </c>
      <c r="G326" s="12">
        <v>0.19327129563350035</v>
      </c>
      <c r="H326" s="11">
        <v>14</v>
      </c>
      <c r="I326" s="11">
        <v>38</v>
      </c>
      <c r="J326" s="11"/>
      <c r="K326" s="11"/>
      <c r="L326" s="11"/>
      <c r="M326" s="11"/>
      <c r="N326" s="11">
        <v>1</v>
      </c>
      <c r="O326" s="11"/>
      <c r="P326" s="12">
        <f>WHU[[#This Row],[xPoints Av.]]*WHU[[#This Row],[Regularity]]</f>
        <v>1.0879787514598953</v>
      </c>
      <c r="Q326" s="11" t="s">
        <v>13</v>
      </c>
    </row>
    <row r="327" spans="1:17" ht="30" customHeight="1" x14ac:dyDescent="0.45">
      <c r="A327" s="11" t="s">
        <v>411</v>
      </c>
      <c r="B327" s="11" t="s">
        <v>75</v>
      </c>
      <c r="C32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3.2139344262295082</v>
      </c>
      <c r="D327" s="12">
        <f>(WHU[[#This Row],[60+Mins Last Season]]/WHU[[#This Row],[Possible 60+Mins Last Season]] * (38-MAX(GameRecord[GW]))/38) + (WHU[[#This Row],[60+Mins This Season]]/WHU[[#This Row],[Possible 60+Mins This Season]] * (MAX(GameRecord[GW]))/38)</f>
        <v>8.5714285714285715E-2</v>
      </c>
      <c r="E327" s="12">
        <v>0.15</v>
      </c>
      <c r="F327" s="12">
        <v>0.1</v>
      </c>
      <c r="G327" s="12">
        <v>0.16393442622950821</v>
      </c>
      <c r="H327" s="11">
        <v>3</v>
      </c>
      <c r="I327" s="11">
        <v>35</v>
      </c>
      <c r="J327" s="11"/>
      <c r="K327" s="11"/>
      <c r="L327" s="11"/>
      <c r="M327" s="11"/>
      <c r="N327" s="11">
        <v>1</v>
      </c>
      <c r="O327" s="11"/>
      <c r="P327" s="12">
        <f>WHU[[#This Row],[xPoints Av.]]*WHU[[#This Row],[Regularity]]</f>
        <v>0.27548009367681497</v>
      </c>
      <c r="Q327" s="11" t="s">
        <v>13</v>
      </c>
    </row>
    <row r="329" spans="1:17" ht="30" customHeight="1" x14ac:dyDescent="0.35">
      <c r="A329" s="24" t="s">
        <v>413</v>
      </c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</row>
    <row r="330" spans="1:17" ht="30" customHeight="1" x14ac:dyDescent="0.35">
      <c r="A330" s="2" t="s">
        <v>52</v>
      </c>
      <c r="B330" s="2" t="s">
        <v>86</v>
      </c>
      <c r="C330" s="2" t="s">
        <v>59</v>
      </c>
      <c r="D330" s="2" t="s">
        <v>54</v>
      </c>
      <c r="E330" s="2" t="s">
        <v>55</v>
      </c>
      <c r="F330" s="2" t="s">
        <v>56</v>
      </c>
      <c r="G330" s="2" t="s">
        <v>65</v>
      </c>
      <c r="H330" s="2" t="s">
        <v>88</v>
      </c>
      <c r="I330" s="2" t="s">
        <v>89</v>
      </c>
      <c r="J330" s="2" t="s">
        <v>57</v>
      </c>
      <c r="K330" s="2" t="s">
        <v>58</v>
      </c>
      <c r="L330" s="2" t="s">
        <v>66</v>
      </c>
      <c r="M330" s="2" t="s">
        <v>87</v>
      </c>
      <c r="N330" s="2" t="s">
        <v>90</v>
      </c>
      <c r="O330" s="2" t="s">
        <v>67</v>
      </c>
      <c r="P330" s="2" t="s">
        <v>53</v>
      </c>
      <c r="Q330" s="2" t="s">
        <v>0</v>
      </c>
    </row>
    <row r="331" spans="1:17" ht="30" customHeight="1" x14ac:dyDescent="0.45">
      <c r="A331" s="11" t="s">
        <v>432</v>
      </c>
      <c r="B331" s="11" t="s">
        <v>64</v>
      </c>
      <c r="C33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3.5382207676286819</v>
      </c>
      <c r="D331" s="12">
        <f>(WOL[[#This Row],[60+Mins Last Season]]/WOL[[#This Row],[Possible 60+Mins Last Season]] * (38-MAX(GameRecord[GW]))/38) + (WOL[[#This Row],[60+Mins This Season]]/WOL[[#This Row],[Possible 60+Mins This Season]] * (MAX(GameRecord[GW]))/38)</f>
        <v>0.97368421052631582</v>
      </c>
      <c r="E331" s="12">
        <v>0.06</v>
      </c>
      <c r="F331" s="12">
        <v>0</v>
      </c>
      <c r="G331" s="12">
        <v>0.2945551919071705</v>
      </c>
      <c r="H331" s="11">
        <v>37</v>
      </c>
      <c r="I331" s="11">
        <v>38</v>
      </c>
      <c r="J331" s="11"/>
      <c r="K331" s="11"/>
      <c r="L331" s="11"/>
      <c r="M331" s="11"/>
      <c r="N331" s="11">
        <v>1</v>
      </c>
      <c r="O331" s="11"/>
      <c r="P331" s="12">
        <f>WOL[[#This Row],[xPoints Av.]]*WOL[[#This Row],[Regularity]]</f>
        <v>3.4451096947963484</v>
      </c>
      <c r="Q331" s="11" t="s">
        <v>15</v>
      </c>
    </row>
    <row r="332" spans="1:17" ht="30" customHeight="1" x14ac:dyDescent="0.45">
      <c r="A332" s="11" t="s">
        <v>433</v>
      </c>
      <c r="B332" s="11" t="s">
        <v>64</v>
      </c>
      <c r="C33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3.6392857142857142</v>
      </c>
      <c r="D332" s="12">
        <f>(WOL[[#This Row],[60+Mins Last Season]]/WOL[[#This Row],[Possible 60+Mins Last Season]] * (38-MAX(GameRecord[GW]))/38) + (WOL[[#This Row],[60+Mins This Season]]/WOL[[#This Row],[Possible 60+Mins This Season]] * (MAX(GameRecord[GW]))/38)</f>
        <v>0.9375</v>
      </c>
      <c r="E332" s="12">
        <v>0.05</v>
      </c>
      <c r="F332" s="12">
        <v>0</v>
      </c>
      <c r="G332" s="12">
        <v>0.33482142857142855</v>
      </c>
      <c r="H332" s="11">
        <v>30</v>
      </c>
      <c r="I332" s="11">
        <v>32</v>
      </c>
      <c r="J332" s="11"/>
      <c r="K332" s="11"/>
      <c r="L332" s="11"/>
      <c r="M332" s="11"/>
      <c r="N332" s="11">
        <v>1</v>
      </c>
      <c r="O332" s="11"/>
      <c r="P332" s="12">
        <f>WOL[[#This Row],[xPoints Av.]]*WOL[[#This Row],[Regularity]]</f>
        <v>3.4118303571428572</v>
      </c>
      <c r="Q332" s="11" t="s">
        <v>15</v>
      </c>
    </row>
    <row r="333" spans="1:17" ht="30" customHeight="1" x14ac:dyDescent="0.45">
      <c r="A333" s="11" t="s">
        <v>414</v>
      </c>
      <c r="B333" s="11" t="s">
        <v>62</v>
      </c>
      <c r="C33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3.2054794520547945</v>
      </c>
      <c r="D333" s="12">
        <f>(WOL[[#This Row],[60+Mins Last Season]]/WOL[[#This Row],[Possible 60+Mins Last Season]] * (38-MAX(GameRecord[GW]))/38) + (WOL[[#This Row],[60+Mins This Season]]/WOL[[#This Row],[Possible 60+Mins This Season]] * (MAX(GameRecord[GW]))/38)</f>
        <v>0.94736842105263153</v>
      </c>
      <c r="E333" s="12">
        <v>0</v>
      </c>
      <c r="F333" s="12">
        <v>0.01</v>
      </c>
      <c r="G333" s="12">
        <v>0.30136986301369861</v>
      </c>
      <c r="H333" s="11">
        <v>36</v>
      </c>
      <c r="I333" s="11">
        <v>38</v>
      </c>
      <c r="J333" s="11"/>
      <c r="K333" s="11"/>
      <c r="L333" s="11"/>
      <c r="M333" s="11"/>
      <c r="N333" s="11">
        <v>1</v>
      </c>
      <c r="O333" s="11"/>
      <c r="P333" s="12">
        <f>WOL[[#This Row],[xPoints Av.]]*WOL[[#This Row],[Regularity]]</f>
        <v>3.0367700072098049</v>
      </c>
      <c r="Q333" s="11" t="s">
        <v>15</v>
      </c>
    </row>
    <row r="334" spans="1:17" ht="30" customHeight="1" x14ac:dyDescent="0.45">
      <c r="A334" s="11" t="s">
        <v>434</v>
      </c>
      <c r="B334" s="11" t="s">
        <v>64</v>
      </c>
      <c r="C33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4.0604129516658851</v>
      </c>
      <c r="D334" s="12">
        <f>(WOL[[#This Row],[60+Mins Last Season]]/WOL[[#This Row],[Possible 60+Mins Last Season]] * (38-MAX(GameRecord[GW]))/38) + (WOL[[#This Row],[60+Mins This Season]]/WOL[[#This Row],[Possible 60+Mins This Season]] * (MAX(GameRecord[GW]))/38)</f>
        <v>0.60526315789473684</v>
      </c>
      <c r="E334" s="12">
        <v>0.06</v>
      </c>
      <c r="F334" s="12">
        <v>0.06</v>
      </c>
      <c r="G334" s="12">
        <v>0.38010323791647116</v>
      </c>
      <c r="H334" s="11">
        <v>23</v>
      </c>
      <c r="I334" s="11">
        <v>38</v>
      </c>
      <c r="J334" s="11"/>
      <c r="K334" s="11"/>
      <c r="L334" s="11"/>
      <c r="M334" s="11"/>
      <c r="N334" s="11">
        <v>1</v>
      </c>
      <c r="O334" s="11"/>
      <c r="P334" s="12">
        <f>WOL[[#This Row],[xPoints Av.]]*WOL[[#This Row],[Regularity]]</f>
        <v>2.457618365481983</v>
      </c>
      <c r="Q334" s="11" t="s">
        <v>15</v>
      </c>
    </row>
    <row r="335" spans="1:17" ht="30" customHeight="1" x14ac:dyDescent="0.45">
      <c r="A335" s="11" t="s">
        <v>444</v>
      </c>
      <c r="B335" s="11" t="s">
        <v>84</v>
      </c>
      <c r="C33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3.32</v>
      </c>
      <c r="D335" s="12">
        <f>(WOL[[#This Row],[60+Mins Last Season]]/WOL[[#This Row],[Possible 60+Mins Last Season]] * (38-MAX(GameRecord[GW]))/38) + (WOL[[#This Row],[60+Mins This Season]]/WOL[[#This Row],[Possible 60+Mins This Season]] * (MAX(GameRecord[GW]))/38)</f>
        <v>0.73684210526315785</v>
      </c>
      <c r="E335" s="12">
        <v>0.24</v>
      </c>
      <c r="F335" s="12">
        <v>0.12</v>
      </c>
      <c r="G335" s="12">
        <v>0.37642585551330798</v>
      </c>
      <c r="H335" s="11">
        <v>28</v>
      </c>
      <c r="I335" s="11">
        <v>38</v>
      </c>
      <c r="J335" s="11"/>
      <c r="K335" s="11"/>
      <c r="L335" s="11"/>
      <c r="M335" s="11"/>
      <c r="N335" s="11">
        <v>1</v>
      </c>
      <c r="O335" s="11"/>
      <c r="P335" s="12">
        <f>WOL[[#This Row],[xPoints Av.]]*WOL[[#This Row],[Regularity]]</f>
        <v>2.446315789473684</v>
      </c>
      <c r="Q335" s="11" t="s">
        <v>15</v>
      </c>
    </row>
    <row r="336" spans="1:17" ht="30" customHeight="1" x14ac:dyDescent="0.45">
      <c r="A336" s="11" t="s">
        <v>437</v>
      </c>
      <c r="B336" s="11" t="s">
        <v>75</v>
      </c>
      <c r="C33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2.7233333333333332</v>
      </c>
      <c r="D336" s="12">
        <f>(WOL[[#This Row],[60+Mins Last Season]]/WOL[[#This Row],[Possible 60+Mins Last Season]] * (38-MAX(GameRecord[GW]))/38) + (WOL[[#This Row],[60+Mins This Season]]/WOL[[#This Row],[Possible 60+Mins This Season]] * (MAX(GameRecord[GW]))/38)</f>
        <v>0.86842105263157898</v>
      </c>
      <c r="E336" s="12">
        <v>0.03</v>
      </c>
      <c r="F336" s="12">
        <v>0.08</v>
      </c>
      <c r="G336" s="12">
        <v>0.33333333333333331</v>
      </c>
      <c r="H336" s="11">
        <v>33</v>
      </c>
      <c r="I336" s="11">
        <v>38</v>
      </c>
      <c r="J336" s="11"/>
      <c r="K336" s="11"/>
      <c r="L336" s="11"/>
      <c r="M336" s="11"/>
      <c r="N336" s="11">
        <v>1</v>
      </c>
      <c r="O336" s="11"/>
      <c r="P336" s="12">
        <f>WOL[[#This Row],[xPoints Av.]]*WOL[[#This Row],[Regularity]]</f>
        <v>2.3649999999999998</v>
      </c>
      <c r="Q336" s="11" t="s">
        <v>15</v>
      </c>
    </row>
    <row r="337" spans="1:17" ht="30" customHeight="1" x14ac:dyDescent="0.45">
      <c r="A337" s="11" t="s">
        <v>435</v>
      </c>
      <c r="B337" s="11" t="s">
        <v>64</v>
      </c>
      <c r="C337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3.8000657174151149</v>
      </c>
      <c r="D337" s="12">
        <f>(WOL[[#This Row],[60+Mins Last Season]]/WOL[[#This Row],[Possible 60+Mins Last Season]] * (38-MAX(GameRecord[GW]))/38) + (WOL[[#This Row],[60+Mins This Season]]/WOL[[#This Row],[Possible 60+Mins This Season]] * (MAX(GameRecord[GW]))/38)</f>
        <v>0.60606060606060608</v>
      </c>
      <c r="E337" s="12">
        <v>0.03</v>
      </c>
      <c r="F337" s="12">
        <v>0.08</v>
      </c>
      <c r="G337" s="12">
        <v>0.34501642935377874</v>
      </c>
      <c r="H337" s="11">
        <v>20</v>
      </c>
      <c r="I337" s="11">
        <v>33</v>
      </c>
      <c r="J337" s="11"/>
      <c r="K337" s="11"/>
      <c r="L337" s="11"/>
      <c r="M337" s="11"/>
      <c r="N337" s="11">
        <v>1</v>
      </c>
      <c r="O337" s="11"/>
      <c r="P337" s="12">
        <f>WOL[[#This Row],[xPoints Av.]]*WOL[[#This Row],[Regularity]]</f>
        <v>2.3030701317667366</v>
      </c>
      <c r="Q337" s="11" t="s">
        <v>15</v>
      </c>
    </row>
    <row r="338" spans="1:17" ht="30" customHeight="1" x14ac:dyDescent="0.45">
      <c r="A338" s="11" t="s">
        <v>438</v>
      </c>
      <c r="B338" s="11" t="s">
        <v>75</v>
      </c>
      <c r="C338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2.7446257991726215</v>
      </c>
      <c r="D338" s="12">
        <f>(WOL[[#This Row],[60+Mins Last Season]]/WOL[[#This Row],[Possible 60+Mins Last Season]] * (38-MAX(GameRecord[GW]))/38) + (WOL[[#This Row],[60+Mins This Season]]/WOL[[#This Row],[Possible 60+Mins This Season]] * (MAX(GameRecord[GW]))/38)</f>
        <v>0.82857142857142863</v>
      </c>
      <c r="E338" s="12">
        <v>0.04</v>
      </c>
      <c r="F338" s="12">
        <v>0.08</v>
      </c>
      <c r="G338" s="12">
        <v>0.30462579917262128</v>
      </c>
      <c r="H338" s="11">
        <v>29</v>
      </c>
      <c r="I338" s="11">
        <v>35</v>
      </c>
      <c r="J338" s="11"/>
      <c r="K338" s="11"/>
      <c r="L338" s="11"/>
      <c r="M338" s="11"/>
      <c r="N338" s="11">
        <v>1</v>
      </c>
      <c r="O338" s="11"/>
      <c r="P338" s="12">
        <f>WOL[[#This Row],[xPoints Av.]]*WOL[[#This Row],[Regularity]]</f>
        <v>2.2741185193144582</v>
      </c>
      <c r="Q338" s="11" t="s">
        <v>15</v>
      </c>
    </row>
    <row r="339" spans="1:17" ht="30" customHeight="1" x14ac:dyDescent="0.45">
      <c r="A339" s="11" t="s">
        <v>440</v>
      </c>
      <c r="B339" s="11" t="s">
        <v>75</v>
      </c>
      <c r="C339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3.9291525423728815</v>
      </c>
      <c r="D339" s="12">
        <f>(WOL[[#This Row],[60+Mins Last Season]]/WOL[[#This Row],[Possible 60+Mins Last Season]] * (38-MAX(GameRecord[GW]))/38) + (WOL[[#This Row],[60+Mins This Season]]/WOL[[#This Row],[Possible 60+Mins This Season]] * (MAX(GameRecord[GW]))/38)</f>
        <v>0.53333333333333333</v>
      </c>
      <c r="E339" s="12">
        <v>0.12</v>
      </c>
      <c r="F339" s="12">
        <v>0.26</v>
      </c>
      <c r="G339" s="12">
        <v>0.54915254237288136</v>
      </c>
      <c r="H339" s="11">
        <v>16</v>
      </c>
      <c r="I339" s="11">
        <v>30</v>
      </c>
      <c r="J339" s="11"/>
      <c r="K339" s="11"/>
      <c r="L339" s="11"/>
      <c r="M339" s="11"/>
      <c r="N339" s="11">
        <v>1</v>
      </c>
      <c r="O339" s="11"/>
      <c r="P339" s="12">
        <f>WOL[[#This Row],[xPoints Av.]]*WOL[[#This Row],[Regularity]]</f>
        <v>2.0955480225988703</v>
      </c>
      <c r="Q339" s="11" t="s">
        <v>15</v>
      </c>
    </row>
    <row r="340" spans="1:17" ht="30" customHeight="1" x14ac:dyDescent="0.45">
      <c r="A340" s="11" t="s">
        <v>445</v>
      </c>
      <c r="B340" s="11" t="s">
        <v>84</v>
      </c>
      <c r="C340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3.08</v>
      </c>
      <c r="D340" s="12">
        <f>(WOL[[#This Row],[60+Mins Last Season]]/WOL[[#This Row],[Possible 60+Mins Last Season]] * (38-MAX(GameRecord[GW]))/38) + (WOL[[#This Row],[60+Mins This Season]]/WOL[[#This Row],[Possible 60+Mins This Season]] * (MAX(GameRecord[GW]))/38)</f>
        <v>0.62068965517241381</v>
      </c>
      <c r="E340" s="12">
        <v>0.21</v>
      </c>
      <c r="F340" s="12">
        <v>0.08</v>
      </c>
      <c r="G340" s="12">
        <v>0.34787410270568742</v>
      </c>
      <c r="H340" s="18">
        <v>18</v>
      </c>
      <c r="I340" s="18">
        <v>29</v>
      </c>
      <c r="J340" s="11"/>
      <c r="K340" s="11"/>
      <c r="L340" s="11"/>
      <c r="M340" s="11"/>
      <c r="N340" s="11">
        <v>1</v>
      </c>
      <c r="O340" s="11"/>
      <c r="P340" s="12">
        <f>WOL[[#This Row],[xPoints Av.]]*WOL[[#This Row],[Regularity]]</f>
        <v>1.9117241379310346</v>
      </c>
      <c r="Q340" s="11" t="s">
        <v>15</v>
      </c>
    </row>
    <row r="341" spans="1:17" ht="30" customHeight="1" x14ac:dyDescent="0.45">
      <c r="A341" s="11" t="s">
        <v>441</v>
      </c>
      <c r="B341" s="11" t="s">
        <v>75</v>
      </c>
      <c r="C34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3.9743975903614457</v>
      </c>
      <c r="D341" s="12">
        <f>(WOL[[#This Row],[60+Mins Last Season]]/WOL[[#This Row],[Possible 60+Mins Last Season]] * (38-MAX(GameRecord[GW]))/38) + (WOL[[#This Row],[60+Mins This Season]]/WOL[[#This Row],[Possible 60+Mins This Season]] * (MAX(GameRecord[GW]))/38)</f>
        <v>0.43243243243243251</v>
      </c>
      <c r="E341" s="12">
        <v>0.24</v>
      </c>
      <c r="F341" s="12">
        <v>0.1</v>
      </c>
      <c r="G341" s="12">
        <v>0.47439759036144574</v>
      </c>
      <c r="H341" s="11">
        <v>16</v>
      </c>
      <c r="I341" s="11">
        <v>37</v>
      </c>
      <c r="J341" s="11"/>
      <c r="K341" s="11"/>
      <c r="L341" s="11"/>
      <c r="M341" s="11"/>
      <c r="N341" s="11">
        <v>1</v>
      </c>
      <c r="O341" s="11"/>
      <c r="P341" s="12">
        <f>WOL[[#This Row],[xPoints Av.]]*WOL[[#This Row],[Regularity]]</f>
        <v>1.7186584174535984</v>
      </c>
      <c r="Q341" s="11" t="s">
        <v>15</v>
      </c>
    </row>
    <row r="342" spans="1:17" ht="30" customHeight="1" x14ac:dyDescent="0.45">
      <c r="A342" s="14" t="s">
        <v>439</v>
      </c>
      <c r="B342" s="11" t="s">
        <v>75</v>
      </c>
      <c r="C34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2.9013624678663241</v>
      </c>
      <c r="D342" s="12">
        <f>(WOL[[#This Row],[60+Mins Last Season]]/WOL[[#This Row],[Possible 60+Mins Last Season]] * (38-MAX(GameRecord[GW]))/38) + (WOL[[#This Row],[60+Mins This Season]]/WOL[[#This Row],[Possible 60+Mins This Season]] * (MAX(GameRecord[GW]))/38)</f>
        <v>0.55263157894736847</v>
      </c>
      <c r="E342" s="12">
        <v>0.11</v>
      </c>
      <c r="F342" s="12">
        <v>0.04</v>
      </c>
      <c r="G342" s="12">
        <v>0.23136246786632392</v>
      </c>
      <c r="H342" s="11">
        <v>21</v>
      </c>
      <c r="I342" s="11">
        <v>38</v>
      </c>
      <c r="J342" s="11"/>
      <c r="K342" s="11"/>
      <c r="L342" s="11"/>
      <c r="M342" s="11"/>
      <c r="N342" s="11">
        <v>1</v>
      </c>
      <c r="O342" s="11"/>
      <c r="P342" s="12">
        <f>WOL[[#This Row],[xPoints Av.]]*WOL[[#This Row],[Regularity]]</f>
        <v>1.6033845217156004</v>
      </c>
      <c r="Q342" s="11" t="s">
        <v>15</v>
      </c>
    </row>
    <row r="343" spans="1:17" ht="30" customHeight="1" x14ac:dyDescent="0.45">
      <c r="A343" s="11" t="s">
        <v>436</v>
      </c>
      <c r="B343" s="11" t="s">
        <v>64</v>
      </c>
      <c r="C34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3.484500978473581</v>
      </c>
      <c r="D343" s="12">
        <f>(WOL[[#This Row],[60+Mins Last Season]]/WOL[[#This Row],[Possible 60+Mins Last Season]] * (38-MAX(GameRecord[GW]))/38) + (WOL[[#This Row],[60+Mins This Season]]/WOL[[#This Row],[Possible 60+Mins This Season]] * (MAX(GameRecord[GW]))/38)</f>
        <v>0.28947368421052633</v>
      </c>
      <c r="E343" s="12">
        <v>0.08</v>
      </c>
      <c r="F343" s="12">
        <v>0.1</v>
      </c>
      <c r="G343" s="12">
        <v>0.17612524461839529</v>
      </c>
      <c r="H343" s="11">
        <v>11</v>
      </c>
      <c r="I343" s="11">
        <v>38</v>
      </c>
      <c r="J343" s="11"/>
      <c r="K343" s="11"/>
      <c r="L343" s="11"/>
      <c r="M343" s="11"/>
      <c r="N343" s="11">
        <v>1</v>
      </c>
      <c r="O343" s="11"/>
      <c r="P343" s="12">
        <f>WOL[[#This Row],[xPoints Av.]]*WOL[[#This Row],[Regularity]]</f>
        <v>1.0086713358739314</v>
      </c>
      <c r="Q343" s="11" t="s">
        <v>15</v>
      </c>
    </row>
    <row r="344" spans="1:17" ht="30" customHeight="1" x14ac:dyDescent="0.45">
      <c r="A344" s="11" t="s">
        <v>446</v>
      </c>
      <c r="B344" s="11" t="s">
        <v>84</v>
      </c>
      <c r="C34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3.9699999999999998</v>
      </c>
      <c r="D344" s="12">
        <f>(WOL[[#This Row],[60+Mins Last Season]]/WOL[[#This Row],[Possible 60+Mins Last Season]] * (38-MAX(GameRecord[GW]))/38) + (WOL[[#This Row],[60+Mins This Season]]/WOL[[#This Row],[Possible 60+Mins This Season]] * (MAX(GameRecord[GW]))/38)</f>
        <v>0.13513513513513514</v>
      </c>
      <c r="E344" s="12">
        <v>0.44</v>
      </c>
      <c r="F344" s="12">
        <v>7.0000000000000007E-2</v>
      </c>
      <c r="G344" s="12">
        <v>0</v>
      </c>
      <c r="H344" s="18">
        <v>5</v>
      </c>
      <c r="I344" s="18">
        <v>37</v>
      </c>
      <c r="J344" s="11"/>
      <c r="K344" s="11"/>
      <c r="L344" s="11"/>
      <c r="M344" s="11"/>
      <c r="N344" s="11">
        <v>1</v>
      </c>
      <c r="O344" s="11"/>
      <c r="P344" s="12">
        <f>WOL[[#This Row],[xPoints Av.]]*WOL[[#This Row],[Regularity]]</f>
        <v>0.53648648648648645</v>
      </c>
      <c r="Q344" s="11" t="s">
        <v>15</v>
      </c>
    </row>
    <row r="345" spans="1:17" ht="30" customHeight="1" x14ac:dyDescent="0.45">
      <c r="A345" s="11" t="s">
        <v>442</v>
      </c>
      <c r="B345" s="11" t="s">
        <v>75</v>
      </c>
      <c r="C34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4.55</v>
      </c>
      <c r="D345" s="12">
        <f>(WOL[[#This Row],[60+Mins Last Season]]/WOL[[#This Row],[Possible 60+Mins Last Season]] * (38-MAX(GameRecord[GW]))/38) + (WOL[[#This Row],[60+Mins This Season]]/WOL[[#This Row],[Possible 60+Mins This Season]] * (MAX(GameRecord[GW]))/38)</f>
        <v>0.10526315789473684</v>
      </c>
      <c r="E345" s="12">
        <v>0.33</v>
      </c>
      <c r="F345" s="12">
        <v>0.3</v>
      </c>
      <c r="G345" s="12">
        <v>0</v>
      </c>
      <c r="H345" s="11">
        <v>4</v>
      </c>
      <c r="I345" s="11">
        <v>38</v>
      </c>
      <c r="J345" s="11"/>
      <c r="K345" s="11"/>
      <c r="L345" s="11"/>
      <c r="M345" s="11"/>
      <c r="N345" s="11">
        <v>1</v>
      </c>
      <c r="O345" s="11"/>
      <c r="P345" s="12">
        <f>WOL[[#This Row],[xPoints Av.]]*WOL[[#This Row],[Regularity]]</f>
        <v>0.47894736842105257</v>
      </c>
      <c r="Q345" s="11" t="s">
        <v>15</v>
      </c>
    </row>
    <row r="346" spans="1:17" ht="30" customHeight="1" x14ac:dyDescent="0.45">
      <c r="A346" s="11" t="s">
        <v>443</v>
      </c>
      <c r="B346" s="11" t="s">
        <v>75</v>
      </c>
      <c r="C34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4.83</v>
      </c>
      <c r="D346" s="12">
        <f>(WOL[[#This Row],[60+Mins Last Season]]/WOL[[#This Row],[Possible 60+Mins Last Season]] * (38-MAX(GameRecord[GW]))/38) + (WOL[[#This Row],[60+Mins This Season]]/WOL[[#This Row],[Possible 60+Mins This Season]] * (MAX(GameRecord[GW]))/38)</f>
        <v>5.5555555555555559E-2</v>
      </c>
      <c r="E346" s="12">
        <v>0.26</v>
      </c>
      <c r="F346" s="12">
        <v>0.51</v>
      </c>
      <c r="G346" s="12">
        <v>0</v>
      </c>
      <c r="H346" s="11">
        <v>1</v>
      </c>
      <c r="I346" s="11">
        <v>18</v>
      </c>
      <c r="J346" s="11"/>
      <c r="K346" s="11"/>
      <c r="L346" s="11"/>
      <c r="M346" s="11"/>
      <c r="N346" s="11">
        <v>1</v>
      </c>
      <c r="O346" s="11"/>
      <c r="P346" s="12">
        <f>WOL[[#This Row],[xPoints Av.]]*WOL[[#This Row],[Regularity]]</f>
        <v>0.26833333333333337</v>
      </c>
      <c r="Q346" s="11" t="s">
        <v>15</v>
      </c>
    </row>
  </sheetData>
  <mergeCells count="17">
    <mergeCell ref="A1:Q1"/>
    <mergeCell ref="A123:Q123"/>
    <mergeCell ref="A143:Q143"/>
    <mergeCell ref="A44:Q44"/>
    <mergeCell ref="A63:Q63"/>
    <mergeCell ref="A82:Q82"/>
    <mergeCell ref="A104:Q104"/>
    <mergeCell ref="A22:Q22"/>
    <mergeCell ref="A269:Q269"/>
    <mergeCell ref="A289:Q289"/>
    <mergeCell ref="A311:Q311"/>
    <mergeCell ref="A329:Q329"/>
    <mergeCell ref="A163:Q163"/>
    <mergeCell ref="A184:Q184"/>
    <mergeCell ref="A208:Q208"/>
    <mergeCell ref="A228:Q228"/>
    <mergeCell ref="A247:Q247"/>
  </mergeCells>
  <dataValidations count="1">
    <dataValidation type="list" allowBlank="1" showInputMessage="1" showErrorMessage="1" sqref="B24:B42 B46:B61 B65:B80 B84:B102 B106:B121 B125:B141 B145:B161 B186:B206 B165:B182 B210:B226 B249:B267 B271:B287 B313:B327 B291:B309 B3:B21 B230:B245 B331:B346" xr:uid="{8F8C6412-7060-4CA7-9D4E-0F288D466891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88A1-AE4C-423D-806B-2802DF5C103E}">
  <dimension ref="A1:M65"/>
  <sheetViews>
    <sheetView workbookViewId="0">
      <selection activeCell="H19" sqref="H19"/>
    </sheetView>
  </sheetViews>
  <sheetFormatPr defaultRowHeight="15" x14ac:dyDescent="0.25"/>
  <cols>
    <col min="1" max="1" width="18.140625" customWidth="1"/>
    <col min="3" max="3" width="22.140625" customWidth="1"/>
    <col min="4" max="4" width="17.5703125" customWidth="1"/>
    <col min="5" max="5" width="26" customWidth="1"/>
    <col min="6" max="6" width="23.85546875" customWidth="1"/>
    <col min="7" max="7" width="24.28515625" customWidth="1"/>
    <col min="8" max="8" width="26.7109375" customWidth="1"/>
    <col min="9" max="9" width="37.28515625" customWidth="1"/>
    <col min="10" max="10" width="12.140625" customWidth="1"/>
    <col min="11" max="11" width="12" customWidth="1"/>
    <col min="12" max="12" width="9.140625" customWidth="1"/>
  </cols>
  <sheetData>
    <row r="1" spans="1:13" ht="27.75" x14ac:dyDescent="0.25">
      <c r="A1" s="24" t="s">
        <v>448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3" ht="18" x14ac:dyDescent="0.35">
      <c r="A2" s="2" t="s">
        <v>52</v>
      </c>
      <c r="B2" s="2" t="s">
        <v>86</v>
      </c>
      <c r="C2" s="2" t="s">
        <v>447</v>
      </c>
      <c r="D2" s="2" t="s">
        <v>59</v>
      </c>
      <c r="E2" s="2" t="s">
        <v>54</v>
      </c>
      <c r="F2" s="2" t="s">
        <v>57</v>
      </c>
      <c r="G2" s="2" t="s">
        <v>58</v>
      </c>
      <c r="H2" s="2" t="s">
        <v>66</v>
      </c>
      <c r="I2" s="2" t="s">
        <v>87</v>
      </c>
      <c r="J2" s="2" t="s">
        <v>90</v>
      </c>
      <c r="K2" s="2" t="s">
        <v>67</v>
      </c>
      <c r="L2" s="2" t="s">
        <v>53</v>
      </c>
      <c r="M2" s="2" t="s">
        <v>0</v>
      </c>
    </row>
    <row r="3" spans="1:13" ht="24" x14ac:dyDescent="0.45">
      <c r="A3" s="11" t="s">
        <v>449</v>
      </c>
      <c r="B3" s="11" t="s">
        <v>84</v>
      </c>
      <c r="C3" s="12">
        <f>IF(MAX(GameRecord[GW]) &lt;= 19, BOU[[#This Row],[xPoints Av.]] *1.5, BOU[[#This Row],[xPoints Av.]])</f>
        <v>3</v>
      </c>
      <c r="D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3" s="12">
        <f>(BOU[[#This Row],[60+Mins This Season]]/BOU[[#This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BOU[[#This Row],[xPoints Scaled]]*BOU[[#This Row],[Regularity]]</f>
        <v>3</v>
      </c>
      <c r="M3" s="11" t="s">
        <v>24</v>
      </c>
    </row>
    <row r="4" spans="1:13" ht="24" x14ac:dyDescent="0.45">
      <c r="A4" s="11" t="s">
        <v>450</v>
      </c>
      <c r="B4" s="11" t="s">
        <v>62</v>
      </c>
      <c r="C4" s="12">
        <f>IF(MAX(GameRecord[GW]) &lt;= 19, BOU[[#This Row],[xPoints Av.]] *1.5, BOU[[#This Row],[xPoints Av.]])</f>
        <v>3</v>
      </c>
      <c r="D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4" s="12">
        <f>(BOU[[#This Row],[60+Mins This Season]]/BOU[[#This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BOU[[#This Row],[xPoints Scaled]]*BOU[[#This Row],[Regularity]]</f>
        <v>3</v>
      </c>
      <c r="M4" s="11" t="s">
        <v>24</v>
      </c>
    </row>
    <row r="5" spans="1:13" ht="24" x14ac:dyDescent="0.45">
      <c r="A5" s="11" t="s">
        <v>451</v>
      </c>
      <c r="B5" s="11" t="s">
        <v>64</v>
      </c>
      <c r="C5" s="12">
        <f>IF(MAX(GameRecord[GW]) &lt;= 19, BOU[[#This Row],[xPoints Av.]] *1.5, BOU[[#This Row],[xPoints Av.]])</f>
        <v>3</v>
      </c>
      <c r="D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5" s="12">
        <f>(BOU[[#This Row],[60+Mins This Season]]/BOU[[#This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BOU[[#This Row],[xPoints Scaled]]*BOU[[#This Row],[Regularity]]</f>
        <v>3</v>
      </c>
      <c r="M5" s="11" t="s">
        <v>24</v>
      </c>
    </row>
    <row r="6" spans="1:13" ht="24" x14ac:dyDescent="0.45">
      <c r="A6" s="11" t="s">
        <v>452</v>
      </c>
      <c r="B6" s="11" t="s">
        <v>75</v>
      </c>
      <c r="C6" s="12">
        <f>IF(MAX(GameRecord[GW]) &lt;= 19, BOU[[#This Row],[xPoints Av.]] *1.5, BOU[[#This Row],[xPoints Av.]])</f>
        <v>3</v>
      </c>
      <c r="D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6" s="12">
        <f>(BOU[[#This Row],[60+Mins This Season]]/BOU[[#This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BOU[[#This Row],[xPoints Scaled]]*BOU[[#This Row],[Regularity]]</f>
        <v>3</v>
      </c>
      <c r="M6" s="11" t="s">
        <v>24</v>
      </c>
    </row>
    <row r="7" spans="1:13" ht="24" x14ac:dyDescent="0.45">
      <c r="A7" s="11" t="s">
        <v>453</v>
      </c>
      <c r="B7" s="11" t="s">
        <v>75</v>
      </c>
      <c r="C7" s="12">
        <f>IF(MAX(GameRecord[GW]) &lt;= 19, BOU[[#This Row],[xPoints Av.]] *1.5, BOU[[#This Row],[xPoints Av.]])</f>
        <v>3</v>
      </c>
      <c r="D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7" s="12">
        <f>(BOU[[#This Row],[60+Mins This Season]]/BOU[[#This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BOU[[#This Row],[xPoints Scaled]]*BOU[[#This Row],[Regularity]]</f>
        <v>3</v>
      </c>
      <c r="M7" s="11" t="s">
        <v>24</v>
      </c>
    </row>
    <row r="8" spans="1:13" ht="24" x14ac:dyDescent="0.45">
      <c r="A8" s="11" t="s">
        <v>454</v>
      </c>
      <c r="B8" s="11" t="s">
        <v>75</v>
      </c>
      <c r="C8" s="12">
        <f>IF(MAX(GameRecord[GW]) &lt;= 19, BOU[[#This Row],[xPoints Av.]] *1.5, BOU[[#This Row],[xPoints Av.]])</f>
        <v>3</v>
      </c>
      <c r="D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8" s="12">
        <f>(BOU[[#This Row],[60+Mins This Season]]/BOU[[#This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BOU[[#This Row],[xPoints Scaled]]*BOU[[#This Row],[Regularity]]</f>
        <v>3</v>
      </c>
      <c r="M8" s="11" t="s">
        <v>24</v>
      </c>
    </row>
    <row r="9" spans="1:13" ht="24" x14ac:dyDescent="0.45">
      <c r="A9" s="11" t="s">
        <v>455</v>
      </c>
      <c r="B9" s="11" t="s">
        <v>64</v>
      </c>
      <c r="C9" s="12">
        <f>IF(MAX(GameRecord[GW]) &lt;= 19, BOU[[#This Row],[xPoints Av.]] *1.5, BOU[[#This Row],[xPoints Av.]])</f>
        <v>3</v>
      </c>
      <c r="D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9" s="12">
        <f>(BOU[[#This Row],[60+Mins This Season]]/BOU[[#This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BOU[[#This Row],[xPoints Scaled]]*BOU[[#This Row],[Regularity]]</f>
        <v>3</v>
      </c>
      <c r="M9" s="11" t="s">
        <v>24</v>
      </c>
    </row>
    <row r="10" spans="1:13" ht="24" x14ac:dyDescent="0.45">
      <c r="A10" s="11" t="s">
        <v>456</v>
      </c>
      <c r="B10" s="11" t="s">
        <v>75</v>
      </c>
      <c r="C10" s="12">
        <f>IF(MAX(GameRecord[GW]) &lt;= 19, BOU[[#This Row],[xPoints Av.]] *1.5, BOU[[#This Row],[xPoints Av.]])</f>
        <v>3</v>
      </c>
      <c r="D1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0" s="12">
        <f>(BOU[[#This Row],[60+Mins This Season]]/BOU[[#This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BOU[[#This Row],[xPoints Scaled]]*BOU[[#This Row],[Regularity]]</f>
        <v>3</v>
      </c>
      <c r="M10" s="11" t="s">
        <v>24</v>
      </c>
    </row>
    <row r="11" spans="1:13" ht="24" x14ac:dyDescent="0.45">
      <c r="A11" s="11" t="s">
        <v>457</v>
      </c>
      <c r="B11" s="11" t="s">
        <v>75</v>
      </c>
      <c r="C11" s="12">
        <f>IF(MAX(GameRecord[GW]) &lt;= 19, BOU[[#This Row],[xPoints Av.]] *1.5, BOU[[#This Row],[xPoints Av.]])</f>
        <v>3</v>
      </c>
      <c r="D1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1" s="12">
        <f>(BOU[[#This Row],[60+Mins This Season]]/BOU[[#This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BOU[[#This Row],[xPoints Scaled]]*BOU[[#This Row],[Regularity]]</f>
        <v>3</v>
      </c>
      <c r="M11" s="11" t="s">
        <v>24</v>
      </c>
    </row>
    <row r="12" spans="1:13" ht="24" x14ac:dyDescent="0.45">
      <c r="A12" s="11" t="s">
        <v>458</v>
      </c>
      <c r="B12" s="11" t="s">
        <v>64</v>
      </c>
      <c r="C12" s="12">
        <f>IF(MAX(GameRecord[GW]) &lt;= 19, BOU[[#This Row],[xPoints Av.]] *1.5, BOU[[#This Row],[xPoints Av.]])</f>
        <v>3</v>
      </c>
      <c r="D12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2" s="12">
        <f>(BOU[[#This Row],[60+Mins This Season]]/BOU[[#This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BOU[[#This Row],[xPoints Scaled]]*BOU[[#This Row],[Regularity]]</f>
        <v>3</v>
      </c>
      <c r="M12" s="11" t="s">
        <v>24</v>
      </c>
    </row>
    <row r="13" spans="1:13" ht="24" x14ac:dyDescent="0.45">
      <c r="A13" s="11" t="s">
        <v>459</v>
      </c>
      <c r="B13" s="11" t="s">
        <v>64</v>
      </c>
      <c r="C13" s="12">
        <f>IF(MAX(GameRecord[GW]) &lt;= 19, BOU[[#This Row],[xPoints Av.]] *1.5, BOU[[#This Row],[xPoints Av.]])</f>
        <v>3</v>
      </c>
      <c r="D1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3" s="12">
        <f>(BOU[[#This Row],[60+Mins This Season]]/BOU[[#This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BOU[[#This Row],[xPoints Scaled]]*BOU[[#This Row],[Regularity]]</f>
        <v>3</v>
      </c>
      <c r="M13" s="11" t="s">
        <v>24</v>
      </c>
    </row>
    <row r="14" spans="1:13" ht="24" x14ac:dyDescent="0.45">
      <c r="A14" s="11" t="s">
        <v>460</v>
      </c>
      <c r="B14" s="11" t="s">
        <v>64</v>
      </c>
      <c r="C14" s="12">
        <f>IF(MAX(GameRecord[GW]) &lt;= 19, BOU[[#This Row],[xPoints Av.]] *1.5, BOU[[#This Row],[xPoints Av.]])</f>
        <v>3</v>
      </c>
      <c r="D1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4" s="12">
        <f>(BOU[[#This Row],[60+Mins This Season]]/BOU[[#This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BOU[[#This Row],[xPoints Scaled]]*BOU[[#This Row],[Regularity]]</f>
        <v>3</v>
      </c>
      <c r="M14" s="11" t="s">
        <v>24</v>
      </c>
    </row>
    <row r="15" spans="1:13" ht="24" x14ac:dyDescent="0.45">
      <c r="A15" s="11" t="s">
        <v>241</v>
      </c>
      <c r="B15" s="11" t="s">
        <v>64</v>
      </c>
      <c r="C15" s="12">
        <f>IF(MAX(GameRecord[GW]) &lt;= 19, BOU[[#This Row],[xPoints Av.]] *1.5, BOU[[#This Row],[xPoints Av.]])</f>
        <v>3</v>
      </c>
      <c r="D1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5" s="12">
        <f>(BOU[[#This Row],[60+Mins This Season]]/BOU[[#This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BOU[[#This Row],[xPoints Scaled]]*BOU[[#This Row],[Regularity]]</f>
        <v>3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BOU[[#This Row],[xPoints Av.]] *1.5, BOU[[#This Row],[xPoints Av.]])</f>
        <v>3</v>
      </c>
      <c r="D1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6" s="12">
        <f>(BOU[[#This Row],[60+Mins This Season]]/BOU[[#This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BOU[[#This Row],[xPoints Scaled]]*BOU[[#This Row],[Regularity]]</f>
        <v>3</v>
      </c>
      <c r="M16" s="11" t="s">
        <v>24</v>
      </c>
    </row>
    <row r="17" spans="1:13" ht="24" x14ac:dyDescent="0.45">
      <c r="A17" s="11" t="s">
        <v>462</v>
      </c>
      <c r="B17" s="11" t="s">
        <v>75</v>
      </c>
      <c r="C17" s="12">
        <f>IF(MAX(GameRecord[GW]) &lt;= 19, BOU[[#This Row],[xPoints Av.]] *1.5, BOU[[#This Row],[xPoints Av.]])</f>
        <v>3</v>
      </c>
      <c r="D1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7" s="12">
        <f>(BOU[[#This Row],[60+Mins This Season]]/BOU[[#This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BOU[[#This Row],[xPoints Scaled]]*BOU[[#This Row],[Regularity]]</f>
        <v>3</v>
      </c>
      <c r="M17" s="11" t="s">
        <v>24</v>
      </c>
    </row>
    <row r="18" spans="1:13" ht="24" x14ac:dyDescent="0.45">
      <c r="A18" s="11" t="s">
        <v>463</v>
      </c>
      <c r="B18" s="11" t="s">
        <v>64</v>
      </c>
      <c r="C18" s="12">
        <f>IF(MAX(GameRecord[GW]) &lt;= 19, BOU[[#This Row],[xPoints Av.]] *1.5, BOU[[#This Row],[xPoints Av.]])</f>
        <v>3</v>
      </c>
      <c r="D1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8" s="12">
        <f>(BOU[[#This Row],[60+Mins This Season]]/BOU[[#This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BOU[[#This Row],[xPoints Scaled]]*BOU[[#This Row],[Regularity]]</f>
        <v>3</v>
      </c>
      <c r="M18" s="11" t="s">
        <v>24</v>
      </c>
    </row>
    <row r="19" spans="1:13" ht="24" x14ac:dyDescent="0.45">
      <c r="A19" s="11" t="s">
        <v>464</v>
      </c>
      <c r="B19" s="11" t="s">
        <v>75</v>
      </c>
      <c r="C19" s="12">
        <f>IF(MAX(GameRecord[GW]) &lt;= 19, BOU[[#This Row],[xPoints Av.]] *1.5, BOU[[#This Row],[xPoints Av.]])</f>
        <v>3</v>
      </c>
      <c r="D1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9" s="12">
        <f>(BOU[[#This Row],[60+Mins This Season]]/BOU[[#This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BOU[[#This Row],[xPoints Scaled]]*BOU[[#This Row],[Regularity]]</f>
        <v>3</v>
      </c>
      <c r="M19" s="11" t="s">
        <v>24</v>
      </c>
    </row>
    <row r="20" spans="1:13" ht="24" x14ac:dyDescent="0.45">
      <c r="A20" s="11" t="s">
        <v>465</v>
      </c>
      <c r="B20" s="11" t="s">
        <v>75</v>
      </c>
      <c r="C20" s="12">
        <f>IF(MAX(GameRecord[GW]) &lt;= 19, BOU[[#This Row],[xPoints Av.]] *1.5, BOU[[#This Row],[xPoints Av.]])</f>
        <v>3</v>
      </c>
      <c r="D2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0" s="12">
        <f>(BOU[[#This Row],[60+Mins This Season]]/BOU[[#This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BOU[[#This Row],[xPoints Scaled]]*BOU[[#This Row],[Regularity]]</f>
        <v>3</v>
      </c>
      <c r="M20" s="11" t="s">
        <v>24</v>
      </c>
    </row>
    <row r="21" spans="1:13" ht="24" x14ac:dyDescent="0.45">
      <c r="A21" s="11" t="s">
        <v>466</v>
      </c>
      <c r="B21" s="11" t="s">
        <v>64</v>
      </c>
      <c r="C21" s="12">
        <f>IF(MAX(GameRecord[GW]) &lt;= 19, BOU[[#This Row],[xPoints Av.]] *1.5, BOU[[#This Row],[xPoints Av.]])</f>
        <v>3</v>
      </c>
      <c r="D2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1" s="12">
        <f>(BOU[[#This Row],[60+Mins This Season]]/BOU[[#This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/>
      <c r="L21" s="12">
        <f>BOU[[#This Row],[xPoints Scaled]]*BOU[[#This Row],[Regularity]]</f>
        <v>3</v>
      </c>
      <c r="M21" s="11" t="s">
        <v>24</v>
      </c>
    </row>
    <row r="23" spans="1:13" ht="27.75" x14ac:dyDescent="0.25">
      <c r="A23" s="24" t="s">
        <v>467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3" ht="18" x14ac:dyDescent="0.35">
      <c r="A24" s="2" t="s">
        <v>52</v>
      </c>
      <c r="B24" s="2" t="s">
        <v>86</v>
      </c>
      <c r="C24" s="2" t="s">
        <v>447</v>
      </c>
      <c r="D24" s="2" t="s">
        <v>59</v>
      </c>
      <c r="E24" s="2" t="s">
        <v>54</v>
      </c>
      <c r="F24" s="2" t="s">
        <v>57</v>
      </c>
      <c r="G24" s="2" t="s">
        <v>58</v>
      </c>
      <c r="H24" s="2" t="s">
        <v>66</v>
      </c>
      <c r="I24" s="2" t="s">
        <v>87</v>
      </c>
      <c r="J24" s="2" t="s">
        <v>90</v>
      </c>
      <c r="K24" s="2" t="s">
        <v>67</v>
      </c>
      <c r="L24" s="2" t="s">
        <v>53</v>
      </c>
      <c r="M24" s="2" t="s">
        <v>0</v>
      </c>
    </row>
    <row r="25" spans="1:13" ht="24" x14ac:dyDescent="0.45">
      <c r="A25" s="11" t="s">
        <v>468</v>
      </c>
      <c r="B25" s="11" t="s">
        <v>64</v>
      </c>
      <c r="C25" s="12">
        <f>IF(MAX(GameRecord[GW]) &lt;= 19, FUL[[#This Row],[xPoints Av.]] *1.5, FUL[[#This Row],[xPoints Av.]])</f>
        <v>3</v>
      </c>
      <c r="D2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5" s="12">
        <f>(FUL[[#This Row],[60+Mins This Season]]/FUL[[#This Row],[Possible 60+Mins This Season]])</f>
        <v>1</v>
      </c>
      <c r="F25" s="11"/>
      <c r="G25" s="11"/>
      <c r="H25" s="11"/>
      <c r="I25" s="11">
        <v>1</v>
      </c>
      <c r="J25" s="11">
        <v>1</v>
      </c>
      <c r="K25" s="11"/>
      <c r="L25" s="12">
        <f>FUL[[#This Row],[xPoints Scaled]]*FUL[[#This Row],[Regularity]]</f>
        <v>3</v>
      </c>
      <c r="M25" s="11" t="s">
        <v>23</v>
      </c>
    </row>
    <row r="26" spans="1:13" ht="24" x14ac:dyDescent="0.45">
      <c r="A26" s="11" t="s">
        <v>469</v>
      </c>
      <c r="B26" s="11" t="s">
        <v>84</v>
      </c>
      <c r="C26" s="12">
        <f>IF(MAX(GameRecord[GW]) &lt;= 19, FUL[[#This Row],[xPoints Av.]] *1.5, FUL[[#This Row],[xPoints Av.]])</f>
        <v>3</v>
      </c>
      <c r="D2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6" s="12">
        <f>(FUL[[#This Row],[60+Mins This Season]]/FUL[[#This Row],[Possible 60+Mins This Season]])</f>
        <v>1</v>
      </c>
      <c r="F26" s="11"/>
      <c r="G26" s="11"/>
      <c r="H26" s="11"/>
      <c r="I26" s="11">
        <v>1</v>
      </c>
      <c r="J26" s="11">
        <v>1</v>
      </c>
      <c r="K26" s="11"/>
      <c r="L26" s="12">
        <f>FUL[[#This Row],[xPoints Scaled]]*FUL[[#This Row],[Regularity]]</f>
        <v>3</v>
      </c>
      <c r="M26" s="11" t="s">
        <v>23</v>
      </c>
    </row>
    <row r="27" spans="1:13" ht="24" x14ac:dyDescent="0.45">
      <c r="A27" s="11" t="s">
        <v>470</v>
      </c>
      <c r="B27" s="11" t="s">
        <v>64</v>
      </c>
      <c r="C27" s="12">
        <f>IF(MAX(GameRecord[GW]) &lt;= 19, FUL[[#This Row],[xPoints Av.]] *1.5, FUL[[#This Row],[xPoints Av.]])</f>
        <v>3</v>
      </c>
      <c r="D2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7" s="12">
        <f>(FUL[[#This Row],[60+Mins This Season]]/FUL[[#This Row],[Possible 60+Mins This Season]])</f>
        <v>1</v>
      </c>
      <c r="F27" s="11"/>
      <c r="G27" s="11"/>
      <c r="H27" s="11"/>
      <c r="I27" s="11">
        <v>1</v>
      </c>
      <c r="J27" s="11">
        <v>1</v>
      </c>
      <c r="K27" s="11"/>
      <c r="L27" s="12">
        <f>FUL[[#This Row],[xPoints Scaled]]*FUL[[#This Row],[Regularity]]</f>
        <v>3</v>
      </c>
      <c r="M27" s="11" t="s">
        <v>23</v>
      </c>
    </row>
    <row r="28" spans="1:13" ht="24" x14ac:dyDescent="0.45">
      <c r="A28" s="11" t="s">
        <v>354</v>
      </c>
      <c r="B28" s="11" t="s">
        <v>75</v>
      </c>
      <c r="C28" s="12">
        <f>IF(MAX(GameRecord[GW]) &lt;= 19, FUL[[#This Row],[xPoints Av.]] *1.5, FUL[[#This Row],[xPoints Av.]])</f>
        <v>3</v>
      </c>
      <c r="D2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8" s="12">
        <f>(FUL[[#This Row],[60+Mins This Season]]/FUL[[#This Row],[Possible 60+Mins This Season]])</f>
        <v>1</v>
      </c>
      <c r="F28" s="11"/>
      <c r="G28" s="11"/>
      <c r="H28" s="11"/>
      <c r="I28" s="11">
        <v>1</v>
      </c>
      <c r="J28" s="11">
        <v>1</v>
      </c>
      <c r="K28" s="11"/>
      <c r="L28" s="12">
        <f>FUL[[#This Row],[xPoints Scaled]]*FUL[[#This Row],[Regularity]]</f>
        <v>3</v>
      </c>
      <c r="M28" s="11" t="s">
        <v>23</v>
      </c>
    </row>
    <row r="29" spans="1:13" ht="24" x14ac:dyDescent="0.45">
      <c r="A29" s="11" t="s">
        <v>471</v>
      </c>
      <c r="B29" s="11" t="s">
        <v>64</v>
      </c>
      <c r="C29" s="12">
        <f>IF(MAX(GameRecord[GW]) &lt;= 19, FUL[[#This Row],[xPoints Av.]] *1.5, FUL[[#This Row],[xPoints Av.]])</f>
        <v>3</v>
      </c>
      <c r="D2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9" s="12">
        <f>(FUL[[#This Row],[60+Mins This Season]]/FUL[[#This Row],[Possible 60+Mins This Season]])</f>
        <v>1</v>
      </c>
      <c r="F29" s="11"/>
      <c r="G29" s="11"/>
      <c r="H29" s="11"/>
      <c r="I29" s="11">
        <v>1</v>
      </c>
      <c r="J29" s="11">
        <v>1</v>
      </c>
      <c r="K29" s="11"/>
      <c r="L29" s="12">
        <f>FUL[[#This Row],[xPoints Scaled]]*FUL[[#This Row],[Regularity]]</f>
        <v>3</v>
      </c>
      <c r="M29" s="11" t="s">
        <v>23</v>
      </c>
    </row>
    <row r="30" spans="1:13" ht="24" x14ac:dyDescent="0.45">
      <c r="A30" s="11" t="s">
        <v>472</v>
      </c>
      <c r="B30" s="11" t="s">
        <v>62</v>
      </c>
      <c r="C30" s="12">
        <f>IF(MAX(GameRecord[GW]) &lt;= 19, FUL[[#This Row],[xPoints Av.]] *1.5, FUL[[#This Row],[xPoints Av.]])</f>
        <v>3</v>
      </c>
      <c r="D3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0" s="12">
        <f>(FUL[[#This Row],[60+Mins This Season]]/FUL[[#This Row],[Possible 60+Mins This Season]])</f>
        <v>1</v>
      </c>
      <c r="F30" s="11"/>
      <c r="G30" s="11"/>
      <c r="H30" s="11"/>
      <c r="I30" s="11">
        <v>1</v>
      </c>
      <c r="J30" s="11">
        <v>1</v>
      </c>
      <c r="K30" s="11"/>
      <c r="L30" s="12">
        <f>FUL[[#This Row],[xPoints Scaled]]*FUL[[#This Row],[Regularity]]</f>
        <v>3</v>
      </c>
      <c r="M30" s="11" t="s">
        <v>23</v>
      </c>
    </row>
    <row r="31" spans="1:13" ht="24" x14ac:dyDescent="0.45">
      <c r="A31" s="11" t="s">
        <v>473</v>
      </c>
      <c r="B31" s="11" t="s">
        <v>75</v>
      </c>
      <c r="C31" s="12">
        <f>IF(MAX(GameRecord[GW]) &lt;= 19, FUL[[#This Row],[xPoints Av.]] *1.5, FUL[[#This Row],[xPoints Av.]])</f>
        <v>3</v>
      </c>
      <c r="D3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1" s="12">
        <f>(FUL[[#This Row],[60+Mins This Season]]/FUL[[#This Row],[Possible 60+Mins This Season]])</f>
        <v>1</v>
      </c>
      <c r="F31" s="11"/>
      <c r="G31" s="11"/>
      <c r="H31" s="11"/>
      <c r="I31" s="11">
        <v>1</v>
      </c>
      <c r="J31" s="11">
        <v>1</v>
      </c>
      <c r="K31" s="11"/>
      <c r="L31" s="12">
        <f>FUL[[#This Row],[xPoints Scaled]]*FUL[[#This Row],[Regularity]]</f>
        <v>3</v>
      </c>
      <c r="M31" s="11" t="s">
        <v>23</v>
      </c>
    </row>
    <row r="32" spans="1:13" ht="24" x14ac:dyDescent="0.45">
      <c r="A32" s="11" t="s">
        <v>474</v>
      </c>
      <c r="B32" s="11" t="s">
        <v>75</v>
      </c>
      <c r="C32" s="12">
        <f>IF(MAX(GameRecord[GW]) &lt;= 19, FUL[[#This Row],[xPoints Av.]] *1.5, FUL[[#This Row],[xPoints Av.]])</f>
        <v>3</v>
      </c>
      <c r="D3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2" s="12">
        <f>(FUL[[#This Row],[60+Mins This Season]]/FUL[[#This Row],[Possible 60+Mins This Season]])</f>
        <v>1</v>
      </c>
      <c r="F32" s="11"/>
      <c r="G32" s="11"/>
      <c r="H32" s="11"/>
      <c r="I32" s="11">
        <v>1</v>
      </c>
      <c r="J32" s="11">
        <v>1</v>
      </c>
      <c r="K32" s="11"/>
      <c r="L32" s="12">
        <f>FUL[[#This Row],[xPoints Scaled]]*FUL[[#This Row],[Regularity]]</f>
        <v>3</v>
      </c>
      <c r="M32" s="11" t="s">
        <v>23</v>
      </c>
    </row>
    <row r="33" spans="1:13" ht="24" x14ac:dyDescent="0.45">
      <c r="A33" s="11" t="s">
        <v>475</v>
      </c>
      <c r="B33" s="11" t="s">
        <v>75</v>
      </c>
      <c r="C33" s="12">
        <f>IF(MAX(GameRecord[GW]) &lt;= 19, FUL[[#This Row],[xPoints Av.]] *1.5, FUL[[#This Row],[xPoints Av.]])</f>
        <v>3</v>
      </c>
      <c r="D3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3" s="12">
        <f>(FUL[[#This Row],[60+Mins This Season]]/FUL[[#This Row],[Possible 60+Mins This Season]])</f>
        <v>1</v>
      </c>
      <c r="F33" s="11"/>
      <c r="G33" s="11"/>
      <c r="H33" s="11"/>
      <c r="I33" s="11">
        <v>1</v>
      </c>
      <c r="J33" s="11">
        <v>1</v>
      </c>
      <c r="K33" s="11"/>
      <c r="L33" s="12">
        <f>FUL[[#This Row],[xPoints Scaled]]*FUL[[#This Row],[Regularity]]</f>
        <v>3</v>
      </c>
      <c r="M33" s="11" t="s">
        <v>23</v>
      </c>
    </row>
    <row r="34" spans="1:13" ht="24" x14ac:dyDescent="0.45">
      <c r="A34" s="11" t="s">
        <v>476</v>
      </c>
      <c r="B34" s="11" t="s">
        <v>75</v>
      </c>
      <c r="C34" s="12">
        <f>IF(MAX(GameRecord[GW]) &lt;= 19, FUL[[#This Row],[xPoints Av.]] *1.5, FUL[[#This Row],[xPoints Av.]])</f>
        <v>3</v>
      </c>
      <c r="D34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4" s="12">
        <f>(FUL[[#This Row],[60+Mins This Season]]/FUL[[#This Row],[Possible 60+Mins This Season]])</f>
        <v>1</v>
      </c>
      <c r="F34" s="11"/>
      <c r="G34" s="11"/>
      <c r="H34" s="11"/>
      <c r="I34" s="11">
        <v>1</v>
      </c>
      <c r="J34" s="11">
        <v>1</v>
      </c>
      <c r="K34" s="11"/>
      <c r="L34" s="12">
        <f>FUL[[#This Row],[xPoints Scaled]]*FUL[[#This Row],[Regularity]]</f>
        <v>3</v>
      </c>
      <c r="M34" s="11" t="s">
        <v>23</v>
      </c>
    </row>
    <row r="35" spans="1:13" ht="24" x14ac:dyDescent="0.45">
      <c r="A35" s="11" t="s">
        <v>477</v>
      </c>
      <c r="B35" s="11" t="s">
        <v>75</v>
      </c>
      <c r="C35" s="12">
        <f>IF(MAX(GameRecord[GW]) &lt;= 19, FUL[[#This Row],[xPoints Av.]] *1.5, FUL[[#This Row],[xPoints Av.]])</f>
        <v>3</v>
      </c>
      <c r="D3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5" s="12">
        <f>(FUL[[#This Row],[60+Mins This Season]]/FUL[[#This Row],[Possible 60+Mins This Season]])</f>
        <v>1</v>
      </c>
      <c r="F35" s="11"/>
      <c r="G35" s="11"/>
      <c r="H35" s="11"/>
      <c r="I35" s="11">
        <v>1</v>
      </c>
      <c r="J35" s="11">
        <v>1</v>
      </c>
      <c r="K35" s="11"/>
      <c r="L35" s="12">
        <f>FUL[[#This Row],[xPoints Scaled]]*FUL[[#This Row],[Regularity]]</f>
        <v>3</v>
      </c>
      <c r="M35" s="11" t="s">
        <v>23</v>
      </c>
    </row>
    <row r="36" spans="1:13" ht="24" x14ac:dyDescent="0.45">
      <c r="A36" s="11" t="s">
        <v>478</v>
      </c>
      <c r="B36" s="11" t="s">
        <v>64</v>
      </c>
      <c r="C36" s="12">
        <f>IF(MAX(GameRecord[GW]) &lt;= 19, FUL[[#This Row],[xPoints Av.]] *1.5, FUL[[#This Row],[xPoints Av.]])</f>
        <v>3</v>
      </c>
      <c r="D3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6" s="12">
        <f>(FUL[[#This Row],[60+Mins This Season]]/FUL[[#This Row],[Possible 60+Mins This Season]])</f>
        <v>1</v>
      </c>
      <c r="F36" s="11"/>
      <c r="G36" s="11"/>
      <c r="H36" s="11"/>
      <c r="I36" s="11">
        <v>1</v>
      </c>
      <c r="J36" s="11">
        <v>1</v>
      </c>
      <c r="K36" s="11"/>
      <c r="L36" s="12">
        <f>FUL[[#This Row],[xPoints Scaled]]*FUL[[#This Row],[Regularity]]</f>
        <v>3</v>
      </c>
      <c r="M36" s="11" t="s">
        <v>23</v>
      </c>
    </row>
    <row r="37" spans="1:13" ht="24" x14ac:dyDescent="0.45">
      <c r="A37" s="11" t="s">
        <v>479</v>
      </c>
      <c r="B37" s="11" t="s">
        <v>64</v>
      </c>
      <c r="C37" s="12">
        <f>IF(MAX(GameRecord[GW]) &lt;= 19, FUL[[#This Row],[xPoints Av.]] *1.5, FUL[[#This Row],[xPoints Av.]])</f>
        <v>3</v>
      </c>
      <c r="D3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7" s="12">
        <f>(FUL[[#This Row],[60+Mins This Season]]/FUL[[#This Row],[Possible 60+Mins This Season]])</f>
        <v>1</v>
      </c>
      <c r="F37" s="11"/>
      <c r="G37" s="11"/>
      <c r="H37" s="11"/>
      <c r="I37" s="11">
        <v>1</v>
      </c>
      <c r="J37" s="11">
        <v>1</v>
      </c>
      <c r="K37" s="11"/>
      <c r="L37" s="12">
        <f>FUL[[#This Row],[xPoints Scaled]]*FUL[[#This Row],[Regularity]]</f>
        <v>3</v>
      </c>
      <c r="M37" s="11" t="s">
        <v>23</v>
      </c>
    </row>
    <row r="38" spans="1:13" ht="24" x14ac:dyDescent="0.45">
      <c r="A38" s="11" t="s">
        <v>480</v>
      </c>
      <c r="B38" s="11" t="s">
        <v>64</v>
      </c>
      <c r="C38" s="12">
        <f>IF(MAX(GameRecord[GW]) &lt;= 19, FUL[[#This Row],[xPoints Av.]] *1.5, FUL[[#This Row],[xPoints Av.]])</f>
        <v>3</v>
      </c>
      <c r="D3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8" s="12">
        <f>(FUL[[#This Row],[60+Mins This Season]]/FUL[[#This Row],[Possible 60+Mins This Season]])</f>
        <v>1</v>
      </c>
      <c r="F38" s="11"/>
      <c r="G38" s="11"/>
      <c r="H38" s="11"/>
      <c r="I38" s="11">
        <v>1</v>
      </c>
      <c r="J38" s="11">
        <v>1</v>
      </c>
      <c r="K38" s="11"/>
      <c r="L38" s="12">
        <f>FUL[[#This Row],[xPoints Scaled]]*FUL[[#This Row],[Regularity]]</f>
        <v>3</v>
      </c>
      <c r="M38" s="11" t="s">
        <v>23</v>
      </c>
    </row>
    <row r="39" spans="1:13" ht="24" x14ac:dyDescent="0.45">
      <c r="A39" s="11" t="s">
        <v>481</v>
      </c>
      <c r="B39" s="11" t="s">
        <v>62</v>
      </c>
      <c r="C39" s="12">
        <f>IF(MAX(GameRecord[GW]) &lt;= 19, FUL[[#This Row],[xPoints Av.]] *1.5, FUL[[#This Row],[xPoints Av.]])</f>
        <v>3</v>
      </c>
      <c r="D3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9" s="12">
        <f>(FUL[[#This Row],[60+Mins This Season]]/FUL[[#This Row],[Possible 60+Mins This Season]])</f>
        <v>1</v>
      </c>
      <c r="F39" s="11"/>
      <c r="G39" s="11"/>
      <c r="H39" s="11"/>
      <c r="I39" s="11">
        <v>1</v>
      </c>
      <c r="J39" s="11">
        <v>1</v>
      </c>
      <c r="K39" s="11"/>
      <c r="L39" s="12">
        <f>FUL[[#This Row],[xPoints Scaled]]*FUL[[#This Row],[Regularity]]</f>
        <v>3</v>
      </c>
      <c r="M39" s="11" t="s">
        <v>23</v>
      </c>
    </row>
    <row r="40" spans="1:13" ht="24" x14ac:dyDescent="0.45">
      <c r="A40" s="11" t="s">
        <v>482</v>
      </c>
      <c r="B40" s="11" t="s">
        <v>64</v>
      </c>
      <c r="C40" s="12">
        <f>IF(MAX(GameRecord[GW]) &lt;= 19, FUL[[#This Row],[xPoints Av.]] *1.5, FUL[[#This Row],[xPoints Av.]])</f>
        <v>3</v>
      </c>
      <c r="D4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0" s="12">
        <f>(FUL[[#This Row],[60+Mins This Season]]/FUL[[#This Row],[Possible 60+Mins This Season]])</f>
        <v>1</v>
      </c>
      <c r="F40" s="11"/>
      <c r="G40" s="11"/>
      <c r="H40" s="11"/>
      <c r="I40" s="11">
        <v>1</v>
      </c>
      <c r="J40" s="11">
        <v>1</v>
      </c>
      <c r="K40" s="11"/>
      <c r="L40" s="12">
        <f>FUL[[#This Row],[xPoints Scaled]]*FUL[[#This Row],[Regularity]]</f>
        <v>3</v>
      </c>
      <c r="M40" s="11" t="s">
        <v>23</v>
      </c>
    </row>
    <row r="41" spans="1:13" ht="24" x14ac:dyDescent="0.45">
      <c r="A41" s="11" t="s">
        <v>151</v>
      </c>
      <c r="B41" s="11" t="s">
        <v>75</v>
      </c>
      <c r="C41" s="12">
        <f>IF(MAX(GameRecord[GW]) &lt;= 19, FUL[[#This Row],[xPoints Av.]] *1.5, FUL[[#This Row],[xPoints Av.]])</f>
        <v>3</v>
      </c>
      <c r="D4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1" s="12">
        <f>(FUL[[#This Row],[60+Mins This Season]]/FUL[[#This Row],[Possible 60+Mins This Season]])</f>
        <v>1</v>
      </c>
      <c r="F41" s="11"/>
      <c r="G41" s="11"/>
      <c r="H41" s="11"/>
      <c r="I41" s="11">
        <v>1</v>
      </c>
      <c r="J41" s="11">
        <v>1</v>
      </c>
      <c r="K41" s="11"/>
      <c r="L41" s="12">
        <f>FUL[[#This Row],[xPoints Scaled]]*FUL[[#This Row],[Regularity]]</f>
        <v>3</v>
      </c>
      <c r="M41" s="11" t="s">
        <v>23</v>
      </c>
    </row>
    <row r="42" spans="1:13" ht="24" x14ac:dyDescent="0.45">
      <c r="A42" s="11" t="s">
        <v>483</v>
      </c>
      <c r="B42" s="11" t="s">
        <v>75</v>
      </c>
      <c r="C42" s="12">
        <f>IF(MAX(GameRecord[GW]) &lt;= 19, FUL[[#This Row],[xPoints Av.]] *1.5, FUL[[#This Row],[xPoints Av.]])</f>
        <v>3</v>
      </c>
      <c r="D4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2" s="12">
        <f>(FUL[[#This Row],[60+Mins This Season]]/FUL[[#This Row],[Possible 60+Mins This Season]])</f>
        <v>1</v>
      </c>
      <c r="F42" s="11"/>
      <c r="G42" s="11"/>
      <c r="H42" s="11"/>
      <c r="I42" s="11">
        <v>1</v>
      </c>
      <c r="J42" s="11">
        <v>1</v>
      </c>
      <c r="K42" s="11"/>
      <c r="L42" s="12">
        <f>FUL[[#This Row],[xPoints Scaled]]*FUL[[#This Row],[Regularity]]</f>
        <v>3</v>
      </c>
      <c r="M42" s="11" t="s">
        <v>23</v>
      </c>
    </row>
    <row r="43" spans="1:13" ht="24" x14ac:dyDescent="0.45">
      <c r="A43" s="11" t="s">
        <v>484</v>
      </c>
      <c r="B43" s="11" t="s">
        <v>75</v>
      </c>
      <c r="C43" s="12">
        <f>IF(MAX(GameRecord[GW]) &lt;= 19, FUL[[#This Row],[xPoints Av.]] *1.5, FUL[[#This Row],[xPoints Av.]])</f>
        <v>3</v>
      </c>
      <c r="D4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3" s="12">
        <f>(FUL[[#This Row],[60+Mins This Season]]/FUL[[#This Row],[Possible 60+Mins This Season]])</f>
        <v>1</v>
      </c>
      <c r="F43" s="11"/>
      <c r="G43" s="11"/>
      <c r="H43" s="11"/>
      <c r="I43" s="11">
        <v>1</v>
      </c>
      <c r="J43" s="11">
        <v>1</v>
      </c>
      <c r="K43" s="11"/>
      <c r="L43" s="12">
        <f>FUL[[#This Row],[xPoints Scaled]]*FUL[[#This Row],[Regularity]]</f>
        <v>3</v>
      </c>
      <c r="M43" s="11" t="s">
        <v>23</v>
      </c>
    </row>
    <row r="45" spans="1:13" ht="27.75" x14ac:dyDescent="0.25">
      <c r="A45" s="24" t="s">
        <v>485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13" ht="18" x14ac:dyDescent="0.35">
      <c r="A46" s="2" t="s">
        <v>52</v>
      </c>
      <c r="B46" s="2" t="s">
        <v>86</v>
      </c>
      <c r="C46" s="2" t="s">
        <v>447</v>
      </c>
      <c r="D46" s="2" t="s">
        <v>59</v>
      </c>
      <c r="E46" s="2" t="s">
        <v>54</v>
      </c>
      <c r="F46" s="2" t="s">
        <v>57</v>
      </c>
      <c r="G46" s="2" t="s">
        <v>58</v>
      </c>
      <c r="H46" s="2" t="s">
        <v>66</v>
      </c>
      <c r="I46" s="2" t="s">
        <v>87</v>
      </c>
      <c r="J46" s="2" t="s">
        <v>90</v>
      </c>
      <c r="K46" s="2" t="s">
        <v>67</v>
      </c>
      <c r="L46" s="2" t="s">
        <v>53</v>
      </c>
      <c r="M46" s="2" t="s">
        <v>0</v>
      </c>
    </row>
    <row r="47" spans="1:13" ht="24" x14ac:dyDescent="0.45">
      <c r="A47" s="11" t="s">
        <v>486</v>
      </c>
      <c r="B47" s="11" t="s">
        <v>64</v>
      </c>
      <c r="C47" s="12">
        <f>IF(MAX(GameRecord[GW]) &lt;= 19, FOR[[#This Row],[xPoints Av.]] *1.5, FOR[[#This Row],[xPoints Av.]])</f>
        <v>3</v>
      </c>
      <c r="D4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7" s="12">
        <f>(FOR[[#This Row],[60+Mins This Season]]/FOR[[#This Row],[Possible 60+Mins This Season]])</f>
        <v>1</v>
      </c>
      <c r="F47" s="11"/>
      <c r="G47" s="11"/>
      <c r="H47" s="11"/>
      <c r="I47" s="11">
        <v>1</v>
      </c>
      <c r="J47" s="11">
        <v>1</v>
      </c>
      <c r="K47" s="11"/>
      <c r="L47" s="12">
        <f>FOR[[#This Row],[xPoints Scaled]]*FOR[[#This Row],[Regularity]]</f>
        <v>3</v>
      </c>
      <c r="M47" s="11" t="s">
        <v>51</v>
      </c>
    </row>
    <row r="48" spans="1:13" ht="24" x14ac:dyDescent="0.45">
      <c r="A48" s="11" t="s">
        <v>403</v>
      </c>
      <c r="B48" s="11" t="s">
        <v>75</v>
      </c>
      <c r="C48" s="12">
        <f>IF(MAX(GameRecord[GW]) &lt;= 19, FOR[[#This Row],[xPoints Av.]] *1.5, FOR[[#This Row],[xPoints Av.]])</f>
        <v>3</v>
      </c>
      <c r="D4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8" s="12">
        <f>(FOR[[#This Row],[60+Mins This Season]]/FOR[[#This Row],[Possible 60+Mins This Season]])</f>
        <v>1</v>
      </c>
      <c r="F48" s="11"/>
      <c r="G48" s="11"/>
      <c r="H48" s="11"/>
      <c r="I48" s="11">
        <v>1</v>
      </c>
      <c r="J48" s="11">
        <v>1</v>
      </c>
      <c r="K48" s="11"/>
      <c r="L48" s="12">
        <f>FOR[[#This Row],[xPoints Scaled]]*FOR[[#This Row],[Regularity]]</f>
        <v>3</v>
      </c>
      <c r="M48" s="11" t="s">
        <v>51</v>
      </c>
    </row>
    <row r="49" spans="1:13" ht="24" x14ac:dyDescent="0.45">
      <c r="A49" s="11" t="s">
        <v>487</v>
      </c>
      <c r="B49" s="11" t="s">
        <v>75</v>
      </c>
      <c r="C49" s="12">
        <f>IF(MAX(GameRecord[GW]) &lt;= 19, FOR[[#This Row],[xPoints Av.]] *1.5, FOR[[#This Row],[xPoints Av.]])</f>
        <v>3</v>
      </c>
      <c r="D4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9" s="12">
        <f>(FOR[[#This Row],[60+Mins This Season]]/FOR[[#This Row],[Possible 60+Mins This Season]])</f>
        <v>1</v>
      </c>
      <c r="F49" s="11"/>
      <c r="G49" s="11"/>
      <c r="H49" s="11"/>
      <c r="I49" s="11">
        <v>1</v>
      </c>
      <c r="J49" s="11">
        <v>1</v>
      </c>
      <c r="K49" s="11"/>
      <c r="L49" s="12">
        <f>FOR[[#This Row],[xPoints Scaled]]*FOR[[#This Row],[Regularity]]</f>
        <v>3</v>
      </c>
      <c r="M49" s="11" t="s">
        <v>51</v>
      </c>
    </row>
    <row r="50" spans="1:13" ht="24" x14ac:dyDescent="0.45">
      <c r="A50" s="11" t="s">
        <v>488</v>
      </c>
      <c r="B50" s="11" t="s">
        <v>62</v>
      </c>
      <c r="C50" s="12">
        <f>IF(MAX(GameRecord[GW]) &lt;= 19, FOR[[#This Row],[xPoints Av.]] *1.5, FOR[[#This Row],[xPoints Av.]])</f>
        <v>3</v>
      </c>
      <c r="D5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0" s="12">
        <f>(FOR[[#This Row],[60+Mins This Season]]/FOR[[#This Row],[Possible 60+Mins This Season]])</f>
        <v>1</v>
      </c>
      <c r="F50" s="11"/>
      <c r="G50" s="11"/>
      <c r="H50" s="11"/>
      <c r="I50" s="11">
        <v>1</v>
      </c>
      <c r="J50" s="11">
        <v>1</v>
      </c>
      <c r="K50" s="11"/>
      <c r="L50" s="12">
        <f>FOR[[#This Row],[xPoints Scaled]]*FOR[[#This Row],[Regularity]]</f>
        <v>3</v>
      </c>
      <c r="M50" s="11" t="s">
        <v>51</v>
      </c>
    </row>
    <row r="51" spans="1:13" ht="24" x14ac:dyDescent="0.45">
      <c r="A51" s="11" t="s">
        <v>489</v>
      </c>
      <c r="B51" s="11" t="s">
        <v>64</v>
      </c>
      <c r="C51" s="12">
        <f>IF(MAX(GameRecord[GW]) &lt;= 19, FOR[[#This Row],[xPoints Av.]] *1.5, FOR[[#This Row],[xPoints Av.]])</f>
        <v>3</v>
      </c>
      <c r="D5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1" s="12">
        <f>(FOR[[#This Row],[60+Mins This Season]]/FOR[[#This Row],[Possible 60+Mins This Season]])</f>
        <v>1</v>
      </c>
      <c r="F51" s="11"/>
      <c r="G51" s="11"/>
      <c r="H51" s="11"/>
      <c r="I51" s="11">
        <v>1</v>
      </c>
      <c r="J51" s="11">
        <v>1</v>
      </c>
      <c r="K51" s="11"/>
      <c r="L51" s="12">
        <f>FOR[[#This Row],[xPoints Scaled]]*FOR[[#This Row],[Regularity]]</f>
        <v>3</v>
      </c>
      <c r="M51" s="11" t="s">
        <v>51</v>
      </c>
    </row>
    <row r="52" spans="1:13" ht="24" x14ac:dyDescent="0.45">
      <c r="A52" s="11" t="s">
        <v>490</v>
      </c>
      <c r="B52" s="11" t="s">
        <v>64</v>
      </c>
      <c r="C52" s="12">
        <f>IF(MAX(GameRecord[GW]) &lt;= 19, FOR[[#This Row],[xPoints Av.]] *1.5, FOR[[#This Row],[xPoints Av.]])</f>
        <v>3</v>
      </c>
      <c r="D5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2" s="12">
        <f>(FOR[[#This Row],[60+Mins This Season]]/FOR[[#This Row],[Possible 60+Mins This Season]])</f>
        <v>1</v>
      </c>
      <c r="F52" s="11"/>
      <c r="G52" s="11"/>
      <c r="H52" s="11"/>
      <c r="I52" s="11">
        <v>1</v>
      </c>
      <c r="J52" s="11">
        <v>1</v>
      </c>
      <c r="K52" s="11"/>
      <c r="L52" s="12">
        <f>FOR[[#This Row],[xPoints Scaled]]*FOR[[#This Row],[Regularity]]</f>
        <v>3</v>
      </c>
      <c r="M52" s="11" t="s">
        <v>51</v>
      </c>
    </row>
    <row r="53" spans="1:13" ht="24" x14ac:dyDescent="0.45">
      <c r="A53" s="11" t="s">
        <v>491</v>
      </c>
      <c r="B53" s="11" t="s">
        <v>75</v>
      </c>
      <c r="C53" s="12">
        <f>IF(MAX(GameRecord[GW]) &lt;= 19, FOR[[#This Row],[xPoints Av.]] *1.5, FOR[[#This Row],[xPoints Av.]])</f>
        <v>3</v>
      </c>
      <c r="D5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3" s="12">
        <f>(FOR[[#This Row],[60+Mins This Season]]/FOR[[#This Row],[Possible 60+Mins This Season]])</f>
        <v>1</v>
      </c>
      <c r="F53" s="11"/>
      <c r="G53" s="11"/>
      <c r="H53" s="11"/>
      <c r="I53" s="11">
        <v>1</v>
      </c>
      <c r="J53" s="11">
        <v>1</v>
      </c>
      <c r="K53" s="11"/>
      <c r="L53" s="12">
        <f>FOR[[#This Row],[xPoints Scaled]]*FOR[[#This Row],[Regularity]]</f>
        <v>3</v>
      </c>
      <c r="M53" s="11" t="s">
        <v>51</v>
      </c>
    </row>
    <row r="54" spans="1:13" ht="24" x14ac:dyDescent="0.45">
      <c r="A54" s="11" t="s">
        <v>492</v>
      </c>
      <c r="B54" s="11" t="s">
        <v>75</v>
      </c>
      <c r="C54" s="12">
        <f>IF(MAX(GameRecord[GW]) &lt;= 19, FOR[[#This Row],[xPoints Av.]] *1.5, FOR[[#This Row],[xPoints Av.]])</f>
        <v>3</v>
      </c>
      <c r="D5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4" s="12">
        <f>(FOR[[#This Row],[60+Mins This Season]]/FOR[[#This Row],[Possible 60+Mins This Season]])</f>
        <v>1</v>
      </c>
      <c r="F54" s="11"/>
      <c r="G54" s="11"/>
      <c r="H54" s="11"/>
      <c r="I54" s="11">
        <v>1</v>
      </c>
      <c r="J54" s="11">
        <v>1</v>
      </c>
      <c r="K54" s="11"/>
      <c r="L54" s="12">
        <f>FOR[[#This Row],[xPoints Scaled]]*FOR[[#This Row],[Regularity]]</f>
        <v>3</v>
      </c>
      <c r="M54" s="11" t="s">
        <v>51</v>
      </c>
    </row>
    <row r="55" spans="1:13" ht="24" x14ac:dyDescent="0.45">
      <c r="A55" s="13" t="s">
        <v>493</v>
      </c>
      <c r="B55" s="11" t="s">
        <v>75</v>
      </c>
      <c r="C55" s="12">
        <f>IF(MAX(GameRecord[GW]) &lt;= 19, FOR[[#This Row],[xPoints Av.]] *1.5, FOR[[#This Row],[xPoints Av.]])</f>
        <v>3</v>
      </c>
      <c r="D5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5" s="12">
        <f>(FOR[[#This Row],[60+Mins This Season]]/FOR[[#This Row],[Possible 60+Mins This Season]])</f>
        <v>1</v>
      </c>
      <c r="F55" s="11"/>
      <c r="G55" s="11"/>
      <c r="H55" s="11"/>
      <c r="I55" s="11">
        <v>1</v>
      </c>
      <c r="J55" s="11">
        <v>1</v>
      </c>
      <c r="K55" s="11"/>
      <c r="L55" s="12">
        <f>FOR[[#This Row],[xPoints Scaled]]*FOR[[#This Row],[Regularity]]</f>
        <v>3</v>
      </c>
      <c r="M55" s="11" t="s">
        <v>51</v>
      </c>
    </row>
    <row r="56" spans="1:13" ht="24" x14ac:dyDescent="0.45">
      <c r="A56" s="11" t="s">
        <v>494</v>
      </c>
      <c r="B56" s="11" t="s">
        <v>84</v>
      </c>
      <c r="C56" s="12">
        <f>IF(MAX(GameRecord[GW]) &lt;= 19, FOR[[#This Row],[xPoints Av.]] *1.5, FOR[[#This Row],[xPoints Av.]])</f>
        <v>3</v>
      </c>
      <c r="D56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6" s="12">
        <f>(FOR[[#This Row],[60+Mins This Season]]/FOR[[#This Row],[Possible 60+Mins This Season]])</f>
        <v>1</v>
      </c>
      <c r="F56" s="11"/>
      <c r="G56" s="11"/>
      <c r="H56" s="11"/>
      <c r="I56" s="11">
        <v>1</v>
      </c>
      <c r="J56" s="11">
        <v>1</v>
      </c>
      <c r="K56" s="11"/>
      <c r="L56" s="12">
        <f>FOR[[#This Row],[xPoints Scaled]]*FOR[[#This Row],[Regularity]]</f>
        <v>3</v>
      </c>
      <c r="M56" s="11" t="s">
        <v>51</v>
      </c>
    </row>
    <row r="57" spans="1:13" ht="24" x14ac:dyDescent="0.45">
      <c r="A57" s="11" t="s">
        <v>495</v>
      </c>
      <c r="B57" s="11" t="s">
        <v>64</v>
      </c>
      <c r="C57" s="12">
        <f>IF(MAX(GameRecord[GW]) &lt;= 19, FOR[[#This Row],[xPoints Av.]] *1.5, FOR[[#This Row],[xPoints Av.]])</f>
        <v>3</v>
      </c>
      <c r="D5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7" s="12">
        <f>(FOR[[#This Row],[60+Mins This Season]]/FOR[[#This Row],[Possible 60+Mins This Season]])</f>
        <v>1</v>
      </c>
      <c r="F57" s="11"/>
      <c r="G57" s="11"/>
      <c r="H57" s="11"/>
      <c r="I57" s="11">
        <v>1</v>
      </c>
      <c r="J57" s="11">
        <v>1</v>
      </c>
      <c r="K57" s="11"/>
      <c r="L57" s="12">
        <f>FOR[[#This Row],[xPoints Scaled]]*FOR[[#This Row],[Regularity]]</f>
        <v>3</v>
      </c>
      <c r="M57" s="11" t="s">
        <v>51</v>
      </c>
    </row>
    <row r="58" spans="1:13" ht="24" x14ac:dyDescent="0.45">
      <c r="A58" s="11" t="s">
        <v>461</v>
      </c>
      <c r="B58" s="11" t="s">
        <v>64</v>
      </c>
      <c r="C58" s="12">
        <f>IF(MAX(GameRecord[GW]) &lt;= 19, FOR[[#This Row],[xPoints Av.]] *1.5, FOR[[#This Row],[xPoints Av.]])</f>
        <v>3</v>
      </c>
      <c r="D5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8" s="12">
        <f>(FOR[[#This Row],[60+Mins This Season]]/FOR[[#This Row],[Possible 60+Mins This Season]])</f>
        <v>1</v>
      </c>
      <c r="F58" s="11"/>
      <c r="G58" s="11"/>
      <c r="H58" s="11"/>
      <c r="I58" s="11">
        <v>1</v>
      </c>
      <c r="J58" s="11">
        <v>1</v>
      </c>
      <c r="K58" s="11"/>
      <c r="L58" s="12">
        <f>FOR[[#This Row],[xPoints Scaled]]*FOR[[#This Row],[Regularity]]</f>
        <v>3</v>
      </c>
      <c r="M58" s="11" t="s">
        <v>51</v>
      </c>
    </row>
    <row r="59" spans="1:13" ht="24" x14ac:dyDescent="0.45">
      <c r="A59" s="11" t="s">
        <v>457</v>
      </c>
      <c r="B59" s="11" t="s">
        <v>64</v>
      </c>
      <c r="C59" s="12">
        <f>IF(MAX(GameRecord[GW]) &lt;= 19, FOR[[#This Row],[xPoints Av.]] *1.5, FOR[[#This Row],[xPoints Av.]])</f>
        <v>3</v>
      </c>
      <c r="D5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9" s="12">
        <f>(FOR[[#This Row],[60+Mins This Season]]/FOR[[#This Row],[Possible 60+Mins This Season]])</f>
        <v>1</v>
      </c>
      <c r="F59" s="11"/>
      <c r="G59" s="11"/>
      <c r="H59" s="11"/>
      <c r="I59" s="11">
        <v>1</v>
      </c>
      <c r="J59" s="11">
        <v>1</v>
      </c>
      <c r="K59" s="11"/>
      <c r="L59" s="12">
        <f>FOR[[#This Row],[xPoints Scaled]]*FOR[[#This Row],[Regularity]]</f>
        <v>3</v>
      </c>
      <c r="M59" s="11" t="s">
        <v>51</v>
      </c>
    </row>
    <row r="60" spans="1:13" ht="24" x14ac:dyDescent="0.45">
      <c r="A60" s="11" t="s">
        <v>466</v>
      </c>
      <c r="B60" s="11" t="s">
        <v>84</v>
      </c>
      <c r="C60" s="12">
        <f>IF(MAX(GameRecord[GW]) &lt;= 19, FOR[[#This Row],[xPoints Av.]] *1.5, FOR[[#This Row],[xPoints Av.]])</f>
        <v>3</v>
      </c>
      <c r="D6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0" s="12">
        <f>(FOR[[#This Row],[60+Mins This Season]]/FOR[[#This Row],[Possible 60+Mins This Season]])</f>
        <v>1</v>
      </c>
      <c r="F60" s="11"/>
      <c r="G60" s="11"/>
      <c r="H60" s="11"/>
      <c r="I60" s="11">
        <v>1</v>
      </c>
      <c r="J60" s="11">
        <v>1</v>
      </c>
      <c r="K60" s="11"/>
      <c r="L60" s="12">
        <f>FOR[[#This Row],[xPoints Scaled]]*FOR[[#This Row],[Regularity]]</f>
        <v>3</v>
      </c>
      <c r="M60" s="11" t="s">
        <v>51</v>
      </c>
    </row>
    <row r="61" spans="1:13" ht="24" x14ac:dyDescent="0.45">
      <c r="A61" s="11" t="s">
        <v>496</v>
      </c>
      <c r="B61" s="11" t="s">
        <v>75</v>
      </c>
      <c r="C61" s="12">
        <f>IF(MAX(GameRecord[GW]) &lt;= 19, FOR[[#This Row],[xPoints Av.]] *1.5, FOR[[#This Row],[xPoints Av.]])</f>
        <v>3</v>
      </c>
      <c r="D6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1" s="12">
        <f>(FOR[[#This Row],[60+Mins This Season]]/FOR[[#This Row],[Possible 60+Mins This Season]])</f>
        <v>1</v>
      </c>
      <c r="F61" s="11"/>
      <c r="G61" s="11"/>
      <c r="H61" s="11"/>
      <c r="I61" s="11">
        <v>1</v>
      </c>
      <c r="J61" s="11">
        <v>1</v>
      </c>
      <c r="K61" s="11"/>
      <c r="L61" s="12">
        <f>FOR[[#This Row],[xPoints Scaled]]*FOR[[#This Row],[Regularity]]</f>
        <v>3</v>
      </c>
      <c r="M61" s="11" t="s">
        <v>51</v>
      </c>
    </row>
    <row r="62" spans="1:13" ht="24" x14ac:dyDescent="0.45">
      <c r="A62" s="11" t="s">
        <v>497</v>
      </c>
      <c r="B62" s="11" t="s">
        <v>84</v>
      </c>
      <c r="C62" s="12">
        <f>IF(MAX(GameRecord[GW]) &lt;= 19, FOR[[#This Row],[xPoints Av.]] *1.5, FOR[[#This Row],[xPoints Av.]])</f>
        <v>3</v>
      </c>
      <c r="D6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2" s="12">
        <f>(FOR[[#This Row],[60+Mins This Season]]/FOR[[#This Row],[Possible 60+Mins This Season]])</f>
        <v>1</v>
      </c>
      <c r="F62" s="11"/>
      <c r="G62" s="11"/>
      <c r="H62" s="11"/>
      <c r="I62" s="11">
        <v>1</v>
      </c>
      <c r="J62" s="11">
        <v>1</v>
      </c>
      <c r="K62" s="11"/>
      <c r="L62" s="12">
        <f>FOR[[#This Row],[xPoints Scaled]]*FOR[[#This Row],[Regularity]]</f>
        <v>3</v>
      </c>
      <c r="M62" s="11" t="s">
        <v>51</v>
      </c>
    </row>
    <row r="63" spans="1:13" ht="24" x14ac:dyDescent="0.45">
      <c r="A63" s="11" t="s">
        <v>498</v>
      </c>
      <c r="B63" s="11" t="s">
        <v>75</v>
      </c>
      <c r="C63" s="12">
        <f>IF(MAX(GameRecord[GW]) &lt;= 19, FOR[[#This Row],[xPoints Av.]] *1.5, FOR[[#This Row],[xPoints Av.]])</f>
        <v>3</v>
      </c>
      <c r="D6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3" s="12">
        <f>(FOR[[#This Row],[60+Mins This Season]]/FOR[[#This Row],[Possible 60+Mins This Season]])</f>
        <v>1</v>
      </c>
      <c r="F63" s="11"/>
      <c r="G63" s="11"/>
      <c r="H63" s="11"/>
      <c r="I63" s="11">
        <v>1</v>
      </c>
      <c r="J63" s="11">
        <v>1</v>
      </c>
      <c r="K63" s="11"/>
      <c r="L63" s="12">
        <f>FOR[[#This Row],[xPoints Scaled]]*FOR[[#This Row],[Regularity]]</f>
        <v>3</v>
      </c>
      <c r="M63" s="11" t="s">
        <v>51</v>
      </c>
    </row>
    <row r="64" spans="1:13" ht="24" x14ac:dyDescent="0.45">
      <c r="A64" s="11" t="s">
        <v>499</v>
      </c>
      <c r="B64" s="11" t="s">
        <v>84</v>
      </c>
      <c r="C64" s="12">
        <f>IF(MAX(GameRecord[GW]) &lt;= 19, FOR[[#This Row],[xPoints Av.]] *1.5, FOR[[#This Row],[xPoints Av.]])</f>
        <v>3</v>
      </c>
      <c r="D6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4" s="12">
        <f>(FOR[[#This Row],[60+Mins This Season]]/FOR[[#This Row],[Possible 60+Mins This Season]])</f>
        <v>1</v>
      </c>
      <c r="F64" s="11"/>
      <c r="G64" s="11"/>
      <c r="H64" s="11"/>
      <c r="I64" s="11">
        <v>1</v>
      </c>
      <c r="J64" s="11">
        <v>1</v>
      </c>
      <c r="K64" s="11"/>
      <c r="L64" s="12">
        <f>FOR[[#This Row],[xPoints Scaled]]*FOR[[#This Row],[Regularity]]</f>
        <v>3</v>
      </c>
      <c r="M64" s="11" t="s">
        <v>51</v>
      </c>
    </row>
    <row r="65" spans="1:13" ht="24" x14ac:dyDescent="0.45">
      <c r="A65" s="11" t="s">
        <v>500</v>
      </c>
      <c r="B65" s="11" t="s">
        <v>62</v>
      </c>
      <c r="C65" s="12">
        <f>IF(MAX(GameRecord[GW]) &lt;= 19, FOR[[#This Row],[xPoints Av.]] *1.5, FOR[[#This Row],[xPoints Av.]])</f>
        <v>3</v>
      </c>
      <c r="D6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5" s="12">
        <f>(FOR[[#This Row],[60+Mins This Season]]/FOR[[#This Row],[Possible 60+Mins This Season]])</f>
        <v>1</v>
      </c>
      <c r="F65" s="11"/>
      <c r="G65" s="11"/>
      <c r="H65" s="11"/>
      <c r="I65" s="11">
        <v>1</v>
      </c>
      <c r="J65" s="11">
        <v>1</v>
      </c>
      <c r="K65" s="11"/>
      <c r="L65" s="12">
        <f>FOR[[#This Row],[xPoints Scaled]]*FOR[[#This Row],[Regularity]]</f>
        <v>3</v>
      </c>
      <c r="M65" s="11" t="s">
        <v>51</v>
      </c>
    </row>
  </sheetData>
  <mergeCells count="3">
    <mergeCell ref="A1:L1"/>
    <mergeCell ref="A23:L23"/>
    <mergeCell ref="A45:L45"/>
  </mergeCells>
  <dataValidations count="1">
    <dataValidation type="list" allowBlank="1" showInputMessage="1" showErrorMessage="1" sqref="B3:B21 B25:B43 B47:B65" xr:uid="{DB40A9A5-C94E-4AC9-BBEB-8FEA8E73F147}">
      <formula1>"GKP, DEF, MID, FWD"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B166-C3B1-42FD-A483-1B80BCDDBC6F}">
  <sheetPr codeName="Sheet1"/>
  <dimension ref="A1:J21"/>
  <sheetViews>
    <sheetView workbookViewId="0">
      <selection activeCell="C7" sqref="C7"/>
    </sheetView>
  </sheetViews>
  <sheetFormatPr defaultRowHeight="18" x14ac:dyDescent="0.35"/>
  <cols>
    <col min="1" max="1" width="18.28515625" style="1" customWidth="1"/>
    <col min="2" max="2" width="23.28515625" style="1" customWidth="1"/>
    <col min="3" max="3" width="23" style="1" customWidth="1"/>
    <col min="4" max="4" width="23.28515625" style="1" customWidth="1"/>
    <col min="5" max="5" width="23.140625" style="1" customWidth="1"/>
    <col min="6" max="6" width="35.5703125" style="1" customWidth="1"/>
    <col min="7" max="7" width="35.140625" style="1" customWidth="1"/>
    <col min="8" max="8" width="17.85546875" style="1" customWidth="1"/>
    <col min="9" max="10" width="18.7109375" style="1" customWidth="1"/>
    <col min="11" max="16384" width="9.140625" style="1"/>
  </cols>
  <sheetData>
    <row r="1" spans="1:10" s="2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3" t="s">
        <v>6</v>
      </c>
      <c r="I1" s="2" t="s">
        <v>30</v>
      </c>
      <c r="J1" s="3" t="s">
        <v>50</v>
      </c>
    </row>
    <row r="2" spans="1:10" x14ac:dyDescent="0.35">
      <c r="A2" s="1" t="s">
        <v>7</v>
      </c>
      <c r="B2" s="8">
        <f>Teams[[#This Row],[Raw Attack]]/MAX(Teams[Raw Attack])</f>
        <v>1</v>
      </c>
      <c r="C2" s="10">
        <f>1/(Teams[[#This Row],[Raw Defence]]/MIN(Teams[Raw Defence]))</f>
        <v>1</v>
      </c>
      <c r="D2" s="1">
        <v>99</v>
      </c>
      <c r="E2" s="1">
        <v>0</v>
      </c>
      <c r="F2" s="1">
        <v>26</v>
      </c>
      <c r="G2" s="1">
        <v>0</v>
      </c>
      <c r="H2" s="4" t="s">
        <v>26</v>
      </c>
      <c r="I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99</v>
      </c>
      <c r="J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3" spans="1:10" x14ac:dyDescent="0.35">
      <c r="A3" s="1" t="s">
        <v>8</v>
      </c>
      <c r="B3" s="8">
        <f>Teams[[#This Row],[Raw Attack]]/MAX(Teams[Raw Attack])</f>
        <v>0.9494949494949495</v>
      </c>
      <c r="C3" s="10">
        <f>1/(Teams[[#This Row],[Raw Defence]]/MIN(Teams[Raw Defence]))</f>
        <v>1</v>
      </c>
      <c r="D3" s="1">
        <v>94</v>
      </c>
      <c r="E3" s="1">
        <v>0</v>
      </c>
      <c r="F3" s="1">
        <v>26</v>
      </c>
      <c r="G3" s="1">
        <v>0</v>
      </c>
      <c r="H3" s="4" t="s">
        <v>26</v>
      </c>
      <c r="I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94</v>
      </c>
      <c r="J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4" spans="1:10" x14ac:dyDescent="0.35">
      <c r="A4" s="1" t="s">
        <v>9</v>
      </c>
      <c r="B4" s="8">
        <f>Teams[[#This Row],[Raw Attack]]/MAX(Teams[Raw Attack])</f>
        <v>0.76767676767676762</v>
      </c>
      <c r="C4" s="10">
        <f>1/(Teams[[#This Row],[Raw Defence]]/MIN(Teams[Raw Defence]))</f>
        <v>0.78787878787878796</v>
      </c>
      <c r="D4" s="1">
        <v>76</v>
      </c>
      <c r="E4" s="1">
        <v>0</v>
      </c>
      <c r="F4" s="1">
        <v>33</v>
      </c>
      <c r="G4" s="1">
        <v>0</v>
      </c>
      <c r="H4" s="4" t="s">
        <v>26</v>
      </c>
      <c r="I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76</v>
      </c>
      <c r="J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33</v>
      </c>
    </row>
    <row r="5" spans="1:10" x14ac:dyDescent="0.35">
      <c r="A5" s="1" t="s">
        <v>10</v>
      </c>
      <c r="B5" s="8">
        <f>Teams[[#This Row],[Raw Attack]]/MAX(Teams[Raw Attack])</f>
        <v>0.69696969696969702</v>
      </c>
      <c r="C5" s="10">
        <f>1/(Teams[[#This Row],[Raw Defence]]/MIN(Teams[Raw Defence]))</f>
        <v>0.64999999999999991</v>
      </c>
      <c r="D5" s="1">
        <v>69</v>
      </c>
      <c r="E5" s="1">
        <v>0</v>
      </c>
      <c r="F5" s="1">
        <v>40</v>
      </c>
      <c r="G5" s="1">
        <v>0</v>
      </c>
      <c r="H5" s="4" t="s">
        <v>26</v>
      </c>
      <c r="I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69</v>
      </c>
      <c r="J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40</v>
      </c>
    </row>
    <row r="6" spans="1:10" x14ac:dyDescent="0.35">
      <c r="A6" s="1" t="s">
        <v>14</v>
      </c>
      <c r="B6" s="8">
        <f>Teams[[#This Row],[Raw Attack]]/MAX(Teams[Raw Attack])</f>
        <v>0.6262626262626263</v>
      </c>
      <c r="C6" s="10">
        <f>1/(Teams[[#This Row],[Raw Defence]]/MIN(Teams[Raw Defence]))</f>
        <v>0.44067796610169491</v>
      </c>
      <c r="D6" s="1">
        <v>62</v>
      </c>
      <c r="E6" s="1">
        <v>0</v>
      </c>
      <c r="F6" s="1">
        <v>59</v>
      </c>
      <c r="G6" s="1">
        <v>0</v>
      </c>
      <c r="H6" s="4" t="s">
        <v>26</v>
      </c>
      <c r="I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62</v>
      </c>
      <c r="J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59</v>
      </c>
    </row>
    <row r="7" spans="1:10" x14ac:dyDescent="0.35">
      <c r="A7" s="1" t="s">
        <v>11</v>
      </c>
      <c r="B7" s="8">
        <f>Teams[[#This Row],[Raw Attack]]/MAX(Teams[Raw Attack])</f>
        <v>0.61616161616161613</v>
      </c>
      <c r="C7" s="10">
        <f>1/(Teams[[#This Row],[Raw Defence]]/MIN(Teams[Raw Defence]))</f>
        <v>0.54166666666666663</v>
      </c>
      <c r="D7" s="1">
        <v>61</v>
      </c>
      <c r="E7" s="1">
        <v>0</v>
      </c>
      <c r="F7" s="1">
        <v>48</v>
      </c>
      <c r="G7" s="1">
        <v>0</v>
      </c>
      <c r="H7" s="4" t="s">
        <v>26</v>
      </c>
      <c r="I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61</v>
      </c>
      <c r="J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48</v>
      </c>
    </row>
    <row r="8" spans="1:10" x14ac:dyDescent="0.35">
      <c r="A8" s="1" t="s">
        <v>13</v>
      </c>
      <c r="B8" s="8">
        <f>Teams[[#This Row],[Raw Attack]]/MAX(Teams[Raw Attack])</f>
        <v>0.60606060606060608</v>
      </c>
      <c r="C8" s="10">
        <f>1/(Teams[[#This Row],[Raw Defence]]/MIN(Teams[Raw Defence]))</f>
        <v>0.50980392156862753</v>
      </c>
      <c r="D8" s="1">
        <v>60</v>
      </c>
      <c r="E8" s="1">
        <v>0</v>
      </c>
      <c r="F8" s="1">
        <v>51</v>
      </c>
      <c r="G8" s="1">
        <v>0</v>
      </c>
      <c r="H8" s="4" t="s">
        <v>26</v>
      </c>
      <c r="I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60</v>
      </c>
      <c r="J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51</v>
      </c>
    </row>
    <row r="9" spans="1:10" x14ac:dyDescent="0.35">
      <c r="A9" s="1" t="s">
        <v>12</v>
      </c>
      <c r="B9" s="8">
        <f>Teams[[#This Row],[Raw Attack]]/MAX(Teams[Raw Attack])</f>
        <v>0.5757575757575758</v>
      </c>
      <c r="C9" s="10">
        <f>1/(Teams[[#This Row],[Raw Defence]]/MIN(Teams[Raw Defence]))</f>
        <v>0.45614035087719296</v>
      </c>
      <c r="D9" s="1">
        <v>57</v>
      </c>
      <c r="E9" s="1">
        <v>0</v>
      </c>
      <c r="F9" s="1">
        <v>57</v>
      </c>
      <c r="G9" s="1">
        <v>0</v>
      </c>
      <c r="H9" s="4" t="s">
        <v>26</v>
      </c>
      <c r="I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57</v>
      </c>
      <c r="J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57</v>
      </c>
    </row>
    <row r="10" spans="1:10" x14ac:dyDescent="0.35">
      <c r="A10" s="1" t="s">
        <v>23</v>
      </c>
      <c r="B10" s="8">
        <f>Teams[[#This Row],[Raw Attack]]/MAX(Teams[Raw Attack])</f>
        <v>0.52745112801538452</v>
      </c>
      <c r="C10" s="10">
        <f>1/(Teams[[#This Row],[Raw Defence]]/MIN(Teams[Raw Defence]))</f>
        <v>0.38917264956817699</v>
      </c>
      <c r="D10" s="1">
        <v>106</v>
      </c>
      <c r="E10" s="1">
        <v>0</v>
      </c>
      <c r="F10" s="1">
        <v>43</v>
      </c>
      <c r="G10" s="1">
        <v>0</v>
      </c>
      <c r="H10" s="4" t="s">
        <v>25</v>
      </c>
      <c r="I1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52.217661673523068</v>
      </c>
      <c r="J1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66.80839475448596</v>
      </c>
    </row>
    <row r="11" spans="1:10" x14ac:dyDescent="0.35">
      <c r="A11" s="1" t="s">
        <v>19</v>
      </c>
      <c r="B11" s="8">
        <f>Teams[[#This Row],[Raw Attack]]/MAX(Teams[Raw Attack])</f>
        <v>0.5252525252525253</v>
      </c>
      <c r="C11" s="10">
        <f>1/(Teams[[#This Row],[Raw Defence]]/MIN(Teams[Raw Defence]))</f>
        <v>0.48148148148148145</v>
      </c>
      <c r="D11" s="1">
        <v>52</v>
      </c>
      <c r="E11" s="1">
        <v>0</v>
      </c>
      <c r="F11" s="1">
        <v>54</v>
      </c>
      <c r="G11" s="1">
        <v>0</v>
      </c>
      <c r="H11" s="4" t="s">
        <v>26</v>
      </c>
      <c r="I1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</v>
      </c>
      <c r="J1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54</v>
      </c>
    </row>
    <row r="12" spans="1:10" x14ac:dyDescent="0.35">
      <c r="A12" s="1" t="s">
        <v>17</v>
      </c>
      <c r="B12" s="8">
        <f>Teams[[#This Row],[Raw Attack]]/MAX(Teams[Raw Attack])</f>
        <v>0.50505050505050508</v>
      </c>
      <c r="C12" s="10">
        <f>1/(Teams[[#This Row],[Raw Defence]]/MIN(Teams[Raw Defence]))</f>
        <v>0.56521739130434789</v>
      </c>
      <c r="D12" s="1">
        <v>50</v>
      </c>
      <c r="E12" s="1">
        <v>0</v>
      </c>
      <c r="F12" s="1">
        <v>46</v>
      </c>
      <c r="G12" s="1">
        <v>0</v>
      </c>
      <c r="H12" s="4" t="s">
        <v>26</v>
      </c>
      <c r="I1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50</v>
      </c>
      <c r="J1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46</v>
      </c>
    </row>
    <row r="13" spans="1:10" x14ac:dyDescent="0.35">
      <c r="A13" s="1" t="s">
        <v>18</v>
      </c>
      <c r="B13" s="8">
        <f>Teams[[#This Row],[Raw Attack]]/MAX(Teams[Raw Attack])</f>
        <v>0.48484848484848486</v>
      </c>
      <c r="C13" s="10">
        <f>1/(Teams[[#This Row],[Raw Defence]]/MIN(Teams[Raw Defence]))</f>
        <v>0.4642857142857143</v>
      </c>
      <c r="D13" s="1">
        <v>48</v>
      </c>
      <c r="E13" s="1">
        <v>0</v>
      </c>
      <c r="F13" s="1">
        <v>56</v>
      </c>
      <c r="G13" s="1">
        <v>0</v>
      </c>
      <c r="H13" s="4" t="s">
        <v>26</v>
      </c>
      <c r="I1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48</v>
      </c>
      <c r="J1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56</v>
      </c>
    </row>
    <row r="14" spans="1:10" x14ac:dyDescent="0.35">
      <c r="A14" s="1" t="s">
        <v>16</v>
      </c>
      <c r="B14" s="8">
        <f>Teams[[#This Row],[Raw Attack]]/MAX(Teams[Raw Attack])</f>
        <v>0.44444444444444442</v>
      </c>
      <c r="C14" s="10">
        <f>1/(Teams[[#This Row],[Raw Defence]]/MIN(Teams[Raw Defence]))</f>
        <v>0.41935483870967744</v>
      </c>
      <c r="D14" s="1">
        <v>44</v>
      </c>
      <c r="E14" s="1">
        <v>0</v>
      </c>
      <c r="F14" s="1">
        <v>62</v>
      </c>
      <c r="G14" s="1">
        <v>0</v>
      </c>
      <c r="H14" s="4" t="s">
        <v>26</v>
      </c>
      <c r="I1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44</v>
      </c>
      <c r="J1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</v>
      </c>
    </row>
    <row r="15" spans="1:10" x14ac:dyDescent="0.35">
      <c r="A15" s="1" t="s">
        <v>21</v>
      </c>
      <c r="B15" s="8">
        <f>Teams[[#This Row],[Raw Attack]]/MAX(Teams[Raw Attack])</f>
        <v>0.43434343434343436</v>
      </c>
      <c r="C15" s="10">
        <f>1/(Teams[[#This Row],[Raw Defence]]/MIN(Teams[Raw Defence]))</f>
        <v>0.39393939393939398</v>
      </c>
      <c r="D15" s="1">
        <v>43</v>
      </c>
      <c r="E15" s="1">
        <v>0</v>
      </c>
      <c r="F15" s="1">
        <v>66</v>
      </c>
      <c r="G15" s="1">
        <v>0</v>
      </c>
      <c r="H15" s="4" t="s">
        <v>26</v>
      </c>
      <c r="I1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</v>
      </c>
    </row>
    <row r="16" spans="1:10" x14ac:dyDescent="0.35">
      <c r="A16" s="1" t="s">
        <v>20</v>
      </c>
      <c r="B16" s="8">
        <f>Teams[[#This Row],[Raw Attack]]/MAX(Teams[Raw Attack])</f>
        <v>0.43434343434343436</v>
      </c>
      <c r="C16" s="10">
        <f>1/(Teams[[#This Row],[Raw Defence]]/MIN(Teams[Raw Defence]))</f>
        <v>0.38805970149253727</v>
      </c>
      <c r="D16" s="1">
        <v>43</v>
      </c>
      <c r="E16" s="1">
        <v>0</v>
      </c>
      <c r="F16" s="1">
        <v>67</v>
      </c>
      <c r="G16" s="1">
        <v>0</v>
      </c>
      <c r="H16" s="4" t="s">
        <v>26</v>
      </c>
      <c r="I1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67</v>
      </c>
    </row>
    <row r="17" spans="1:10" x14ac:dyDescent="0.35">
      <c r="A17" s="1" t="s">
        <v>129</v>
      </c>
      <c r="B17" s="8">
        <f>Teams[[#This Row],[Raw Attack]]/MAX(Teams[Raw Attack])</f>
        <v>0.42424242424242425</v>
      </c>
      <c r="C17" s="10">
        <f>1/(Teams[[#This Row],[Raw Defence]]/MIN(Teams[Raw Defence]))</f>
        <v>0.59090909090909094</v>
      </c>
      <c r="D17" s="1">
        <v>42</v>
      </c>
      <c r="E17" s="1">
        <v>0</v>
      </c>
      <c r="F17" s="1">
        <v>44</v>
      </c>
      <c r="G17" s="1">
        <v>0</v>
      </c>
      <c r="H17" s="4" t="s">
        <v>26</v>
      </c>
      <c r="I1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44</v>
      </c>
    </row>
    <row r="18" spans="1:10" x14ac:dyDescent="0.35">
      <c r="A18" s="1" t="s">
        <v>22</v>
      </c>
      <c r="B18" s="8">
        <f>Teams[[#This Row],[Raw Attack]]/MAX(Teams[Raw Attack])</f>
        <v>0.42424242424242425</v>
      </c>
      <c r="C18" s="10">
        <f>1/(Teams[[#This Row],[Raw Defence]]/MIN(Teams[Raw Defence]))</f>
        <v>0.32911392405063294</v>
      </c>
      <c r="D18" s="1">
        <v>42</v>
      </c>
      <c r="E18" s="1">
        <v>0</v>
      </c>
      <c r="F18" s="1">
        <v>79</v>
      </c>
      <c r="G18" s="1">
        <v>0</v>
      </c>
      <c r="H18" s="4" t="s">
        <v>26</v>
      </c>
      <c r="I1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79</v>
      </c>
    </row>
    <row r="19" spans="1:10" x14ac:dyDescent="0.35">
      <c r="A19" s="1" t="s">
        <v>15</v>
      </c>
      <c r="B19" s="8">
        <f>Teams[[#This Row],[Raw Attack]]/MAX(Teams[Raw Attack])</f>
        <v>0.38383838383838381</v>
      </c>
      <c r="C19" s="10">
        <f>1/(Teams[[#This Row],[Raw Defence]]/MIN(Teams[Raw Defence]))</f>
        <v>0.60465116279069775</v>
      </c>
      <c r="D19" s="1">
        <v>38</v>
      </c>
      <c r="E19" s="1">
        <v>0</v>
      </c>
      <c r="F19" s="1">
        <v>43</v>
      </c>
      <c r="G19" s="1">
        <v>0</v>
      </c>
      <c r="H19" s="4" t="s">
        <v>26</v>
      </c>
      <c r="I1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38</v>
      </c>
      <c r="J1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43</v>
      </c>
    </row>
    <row r="20" spans="1:10" x14ac:dyDescent="0.35">
      <c r="A20" s="1" t="s">
        <v>24</v>
      </c>
      <c r="B20" s="8">
        <f>Teams[[#This Row],[Raw Attack]]/MAX(Teams[Raw Attack])</f>
        <v>0.36822059880319297</v>
      </c>
      <c r="C20" s="10">
        <f>1/(Teams[[#This Row],[Raw Defence]]/MIN(Teams[Raw Defence]))</f>
        <v>0.42908779311363104</v>
      </c>
      <c r="D20" s="1">
        <v>74</v>
      </c>
      <c r="E20" s="1">
        <v>0</v>
      </c>
      <c r="F20" s="1">
        <v>39</v>
      </c>
      <c r="G20" s="1">
        <v>0</v>
      </c>
      <c r="H20" s="4" t="s">
        <v>25</v>
      </c>
      <c r="I2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36.453839281516103</v>
      </c>
      <c r="J2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60.593660358719831</v>
      </c>
    </row>
    <row r="21" spans="1:10" x14ac:dyDescent="0.35">
      <c r="A21" s="1" t="s">
        <v>51</v>
      </c>
      <c r="B21" s="8">
        <f>Teams[[#This Row],[Raw Attack]]/MAX(Teams[Raw Attack])</f>
        <v>0.36324464476531199</v>
      </c>
      <c r="C21" s="10">
        <f>1/(Teams[[#This Row],[Raw Defence]]/MIN(Teams[Raw Defence]))</f>
        <v>0.41836059828579031</v>
      </c>
      <c r="D21" s="1">
        <v>73</v>
      </c>
      <c r="E21" s="1">
        <v>0</v>
      </c>
      <c r="F21" s="1">
        <v>40</v>
      </c>
      <c r="G21" s="1">
        <v>0</v>
      </c>
      <c r="H21" s="4" t="s">
        <v>25</v>
      </c>
      <c r="I2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35.961219831765888</v>
      </c>
      <c r="J2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62.147343957661363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  <ignoredErrors>
    <ignoredError sqref="I3:J21" calculatedColumn="1"/>
  </ignoredErrors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E00E-61FE-4093-B38E-900449591DE0}">
  <sheetPr codeName="Sheet2"/>
  <dimension ref="A1:AF39"/>
  <sheetViews>
    <sheetView zoomScaleNormal="100" workbookViewId="0">
      <selection activeCell="U1" sqref="U1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32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32" ht="35.25" customHeight="1" x14ac:dyDescent="0.35">
      <c r="A2" s="7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AE2" s="1" t="s">
        <v>29</v>
      </c>
      <c r="AF2" s="1">
        <f>MAX(GameRecord[GW])</f>
        <v>0</v>
      </c>
    </row>
    <row r="3" spans="1:32" ht="35.25" customHeight="1" x14ac:dyDescent="0.3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32" ht="35.25" customHeight="1" x14ac:dyDescent="0.35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1:32" ht="35.25" customHeight="1" x14ac:dyDescent="0.35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spans="1:32" ht="35.25" customHeight="1" x14ac:dyDescent="0.3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spans="1:32" ht="35.25" customHeight="1" x14ac:dyDescent="0.3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32" ht="35.25" customHeight="1" x14ac:dyDescent="0.3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spans="1:32" ht="35.25" customHeight="1" x14ac:dyDescent="0.35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r="10" spans="1:32" ht="35.25" customHeight="1" x14ac:dyDescent="0.35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32" ht="35.25" customHeight="1" x14ac:dyDescent="0.3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r="12" spans="1:32" ht="35.25" customHeight="1" x14ac:dyDescent="0.3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r="13" spans="1:32" ht="35.25" customHeight="1" x14ac:dyDescent="0.35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32" ht="35.25" customHeight="1" x14ac:dyDescent="0.3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32" ht="35.25" customHeight="1" x14ac:dyDescent="0.3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32" ht="35.25" customHeight="1" x14ac:dyDescent="0.3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21" ht="35.25" customHeight="1" x14ac:dyDescent="0.3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21" ht="35.25" customHeight="1" x14ac:dyDescent="0.3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r="19" spans="1:21" ht="35.25" customHeight="1" x14ac:dyDescent="0.3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r="20" spans="1:21" ht="35.25" customHeight="1" x14ac:dyDescent="0.3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r="21" spans="1:21" ht="35.25" customHeight="1" x14ac:dyDescent="0.3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1:21" ht="35.25" customHeight="1" x14ac:dyDescent="0.3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1:21" ht="35.25" customHeight="1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1" ht="35.25" customHeight="1" x14ac:dyDescent="0.3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1:21" ht="35.25" customHeight="1" x14ac:dyDescent="0.3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1:21" ht="35.25" customHeight="1" x14ac:dyDescent="0.3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1:21" ht="35.25" customHeight="1" x14ac:dyDescent="0.3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1" ht="35.25" customHeight="1" x14ac:dyDescent="0.3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1" ht="35.25" customHeight="1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1:21" ht="35.25" customHeight="1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1:21" ht="35.25" customHeight="1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1:21" ht="35.25" customHeight="1" x14ac:dyDescent="0.3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1:21" ht="35.25" customHeight="1" x14ac:dyDescent="0.3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1:21" ht="35.25" customHeight="1" x14ac:dyDescent="0.35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1:21" ht="35.25" customHeight="1" x14ac:dyDescent="0.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1:21" ht="35.25" customHeight="1" x14ac:dyDescent="0.35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1:21" ht="35.25" customHeight="1" x14ac:dyDescent="0.35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1:21" ht="35.25" customHeight="1" x14ac:dyDescent="0.35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1:21" ht="35.25" customHeight="1" x14ac:dyDescent="0.35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</sheetData>
  <conditionalFormatting sqref="B2:U39">
    <cfRule type="cellIs" dxfId="2" priority="1" operator="equal">
      <formula>"L"</formula>
    </cfRule>
    <cfRule type="cellIs" dxfId="1" priority="2" operator="equal">
      <formula>"D"</formula>
    </cfRule>
    <cfRule type="cellIs" dxfId="0" priority="3" operator="equal">
      <formula>"W"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274B-542B-4AB5-9227-CB496924F1D7}">
  <dimension ref="A1:U39"/>
  <sheetViews>
    <sheetView topLeftCell="A31" zoomScaleNormal="100" workbookViewId="0">
      <selection activeCell="U39" sqref="U39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21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21" ht="35.25" customHeight="1" x14ac:dyDescent="0.35">
      <c r="A2" s="7">
        <v>1</v>
      </c>
      <c r="B2" s="21" t="s">
        <v>13</v>
      </c>
      <c r="C2" s="21" t="s">
        <v>23</v>
      </c>
      <c r="D2" s="21" t="s">
        <v>21</v>
      </c>
      <c r="E2" s="21" t="s">
        <v>20</v>
      </c>
      <c r="F2" s="21" t="s">
        <v>17</v>
      </c>
      <c r="G2" s="21" t="s">
        <v>129</v>
      </c>
      <c r="H2" s="21" t="s">
        <v>7</v>
      </c>
      <c r="I2" s="21" t="s">
        <v>18</v>
      </c>
      <c r="J2" s="21" t="s">
        <v>12</v>
      </c>
      <c r="K2" s="21" t="s">
        <v>22</v>
      </c>
      <c r="L2" s="21" t="s">
        <v>51</v>
      </c>
      <c r="M2" s="21" t="s">
        <v>11</v>
      </c>
      <c r="N2" s="21" t="s">
        <v>14</v>
      </c>
      <c r="O2" s="21" t="s">
        <v>24</v>
      </c>
      <c r="P2" s="21" t="s">
        <v>10</v>
      </c>
      <c r="Q2" s="21" t="s">
        <v>9</v>
      </c>
      <c r="R2" s="21" t="s">
        <v>15</v>
      </c>
      <c r="S2" s="21" t="s">
        <v>8</v>
      </c>
      <c r="T2" s="21" t="s">
        <v>19</v>
      </c>
      <c r="U2" s="22" t="s">
        <v>16</v>
      </c>
    </row>
    <row r="3" spans="1:21" ht="35.25" customHeight="1" x14ac:dyDescent="0.35">
      <c r="A3" s="7">
        <v>2</v>
      </c>
      <c r="B3" s="21" t="s">
        <v>24</v>
      </c>
      <c r="C3" s="21" t="s">
        <v>17</v>
      </c>
      <c r="D3" s="21" t="s">
        <v>10</v>
      </c>
      <c r="E3" s="21" t="s">
        <v>9</v>
      </c>
      <c r="F3" s="21" t="s">
        <v>14</v>
      </c>
      <c r="G3" s="21" t="s">
        <v>18</v>
      </c>
      <c r="H3" s="21" t="s">
        <v>51</v>
      </c>
      <c r="I3" s="21" t="s">
        <v>11</v>
      </c>
      <c r="J3" s="21" t="s">
        <v>16</v>
      </c>
      <c r="K3" s="21" t="s">
        <v>23</v>
      </c>
      <c r="L3" s="21" t="s">
        <v>129</v>
      </c>
      <c r="M3" s="21" t="s">
        <v>8</v>
      </c>
      <c r="N3" s="21" t="s">
        <v>12</v>
      </c>
      <c r="O3" s="21" t="s">
        <v>21</v>
      </c>
      <c r="P3" s="21" t="s">
        <v>22</v>
      </c>
      <c r="Q3" s="21" t="s">
        <v>19</v>
      </c>
      <c r="R3" s="21" t="s">
        <v>20</v>
      </c>
      <c r="S3" s="21" t="s">
        <v>15</v>
      </c>
      <c r="T3" s="21" t="s">
        <v>7</v>
      </c>
      <c r="U3" s="22" t="s">
        <v>13</v>
      </c>
    </row>
    <row r="4" spans="1:21" ht="35.25" customHeight="1" x14ac:dyDescent="0.35">
      <c r="A4" s="7">
        <v>3</v>
      </c>
      <c r="B4" s="21" t="s">
        <v>16</v>
      </c>
      <c r="C4" s="21" t="s">
        <v>12</v>
      </c>
      <c r="D4" s="21" t="s">
        <v>22</v>
      </c>
      <c r="E4" s="21" t="s">
        <v>15</v>
      </c>
      <c r="F4" s="21" t="s">
        <v>24</v>
      </c>
      <c r="G4" s="21" t="s">
        <v>8</v>
      </c>
      <c r="H4" s="21" t="s">
        <v>129</v>
      </c>
      <c r="I4" s="21" t="s">
        <v>20</v>
      </c>
      <c r="J4" s="21" t="s">
        <v>13</v>
      </c>
      <c r="K4" s="21" t="s">
        <v>10</v>
      </c>
      <c r="L4" s="21" t="s">
        <v>7</v>
      </c>
      <c r="M4" s="21" t="s">
        <v>19</v>
      </c>
      <c r="N4" s="21" t="s">
        <v>23</v>
      </c>
      <c r="O4" s="21" t="s">
        <v>17</v>
      </c>
      <c r="P4" s="21" t="s">
        <v>14</v>
      </c>
      <c r="Q4" s="21" t="s">
        <v>51</v>
      </c>
      <c r="R4" s="21" t="s">
        <v>9</v>
      </c>
      <c r="S4" s="21" t="s">
        <v>18</v>
      </c>
      <c r="T4" s="21" t="s">
        <v>11</v>
      </c>
      <c r="U4" s="22" t="s">
        <v>21</v>
      </c>
    </row>
    <row r="5" spans="1:21" ht="35.25" customHeight="1" x14ac:dyDescent="0.35">
      <c r="A5" s="7">
        <v>4</v>
      </c>
      <c r="B5" s="21" t="s">
        <v>17</v>
      </c>
      <c r="C5" s="21" t="s">
        <v>24</v>
      </c>
      <c r="D5" s="21" t="s">
        <v>14</v>
      </c>
      <c r="E5" s="21" t="s">
        <v>51</v>
      </c>
      <c r="F5" s="21" t="s">
        <v>23</v>
      </c>
      <c r="G5" s="21" t="s">
        <v>20</v>
      </c>
      <c r="H5" s="21" t="s">
        <v>19</v>
      </c>
      <c r="I5" s="21" t="s">
        <v>9</v>
      </c>
      <c r="J5" s="21" t="s">
        <v>22</v>
      </c>
      <c r="K5" s="21" t="s">
        <v>16</v>
      </c>
      <c r="L5" s="21" t="s">
        <v>15</v>
      </c>
      <c r="M5" s="21" t="s">
        <v>7</v>
      </c>
      <c r="N5" s="21" t="s">
        <v>21</v>
      </c>
      <c r="O5" s="21" t="s">
        <v>13</v>
      </c>
      <c r="P5" s="21" t="s">
        <v>12</v>
      </c>
      <c r="Q5" s="21" t="s">
        <v>18</v>
      </c>
      <c r="R5" s="21" t="s">
        <v>129</v>
      </c>
      <c r="S5" s="21" t="s">
        <v>11</v>
      </c>
      <c r="T5" s="21" t="s">
        <v>8</v>
      </c>
      <c r="U5" s="22" t="s">
        <v>10</v>
      </c>
    </row>
    <row r="6" spans="1:21" ht="35.25" customHeight="1" x14ac:dyDescent="0.35">
      <c r="A6" s="7">
        <v>5</v>
      </c>
      <c r="B6" s="21" t="s">
        <v>51</v>
      </c>
      <c r="C6" s="21" t="s">
        <v>16</v>
      </c>
      <c r="D6" s="21" t="s">
        <v>20</v>
      </c>
      <c r="E6" s="21" t="s">
        <v>13</v>
      </c>
      <c r="F6" s="21" t="s">
        <v>19</v>
      </c>
      <c r="G6" s="21" t="s">
        <v>14</v>
      </c>
      <c r="H6" s="21" t="s">
        <v>10</v>
      </c>
      <c r="I6" s="21" t="s">
        <v>12</v>
      </c>
      <c r="J6" s="21" t="s">
        <v>23</v>
      </c>
      <c r="K6" s="21" t="s">
        <v>24</v>
      </c>
      <c r="L6" s="21" t="s">
        <v>8</v>
      </c>
      <c r="M6" s="21" t="s">
        <v>18</v>
      </c>
      <c r="N6" s="21" t="s">
        <v>17</v>
      </c>
      <c r="O6" s="21" t="s">
        <v>11</v>
      </c>
      <c r="P6" s="21" t="s">
        <v>9</v>
      </c>
      <c r="Q6" s="21" t="s">
        <v>22</v>
      </c>
      <c r="R6" s="21" t="s">
        <v>21</v>
      </c>
      <c r="S6" s="21" t="s">
        <v>129</v>
      </c>
      <c r="T6" s="21" t="s">
        <v>15</v>
      </c>
      <c r="U6" s="22" t="s">
        <v>7</v>
      </c>
    </row>
    <row r="7" spans="1:21" ht="35.25" customHeight="1" x14ac:dyDescent="0.35">
      <c r="A7" s="7">
        <v>6</v>
      </c>
      <c r="B7" s="21" t="s">
        <v>19</v>
      </c>
      <c r="C7" s="21" t="s">
        <v>21</v>
      </c>
      <c r="D7" s="21" t="s">
        <v>13</v>
      </c>
      <c r="E7" s="21" t="s">
        <v>23</v>
      </c>
      <c r="F7" s="21" t="s">
        <v>12</v>
      </c>
      <c r="G7" s="21" t="s">
        <v>11</v>
      </c>
      <c r="H7" s="21" t="s">
        <v>9</v>
      </c>
      <c r="I7" s="21" t="s">
        <v>129</v>
      </c>
      <c r="J7" s="21" t="s">
        <v>14</v>
      </c>
      <c r="K7" s="21" t="s">
        <v>20</v>
      </c>
      <c r="L7" s="21" t="s">
        <v>17</v>
      </c>
      <c r="M7" s="21" t="s">
        <v>16</v>
      </c>
      <c r="N7" s="21" t="s">
        <v>22</v>
      </c>
      <c r="O7" s="21" t="s">
        <v>7</v>
      </c>
      <c r="P7" s="21" t="s">
        <v>15</v>
      </c>
      <c r="Q7" s="21" t="s">
        <v>8</v>
      </c>
      <c r="R7" s="21" t="s">
        <v>18</v>
      </c>
      <c r="S7" s="21" t="s">
        <v>10</v>
      </c>
      <c r="T7" s="21" t="s">
        <v>51</v>
      </c>
      <c r="U7" s="22" t="s">
        <v>24</v>
      </c>
    </row>
    <row r="8" spans="1:21" ht="35.25" customHeight="1" x14ac:dyDescent="0.35">
      <c r="A8" s="7">
        <v>7</v>
      </c>
      <c r="B8" s="21" t="s">
        <v>10</v>
      </c>
      <c r="C8" s="21" t="s">
        <v>15</v>
      </c>
      <c r="D8" s="21" t="s">
        <v>23</v>
      </c>
      <c r="E8" s="21" t="s">
        <v>7</v>
      </c>
      <c r="F8" s="21" t="s">
        <v>21</v>
      </c>
      <c r="G8" s="21" t="s">
        <v>17</v>
      </c>
      <c r="H8" s="21" t="s">
        <v>16</v>
      </c>
      <c r="I8" s="21" t="s">
        <v>19</v>
      </c>
      <c r="J8" s="21" t="s">
        <v>24</v>
      </c>
      <c r="K8" s="21" t="s">
        <v>8</v>
      </c>
      <c r="L8" s="21" t="s">
        <v>13</v>
      </c>
      <c r="M8" s="21" t="s">
        <v>12</v>
      </c>
      <c r="N8" s="21" t="s">
        <v>20</v>
      </c>
      <c r="O8" s="21" t="s">
        <v>14</v>
      </c>
      <c r="P8" s="21" t="s">
        <v>18</v>
      </c>
      <c r="Q8" s="21" t="s">
        <v>11</v>
      </c>
      <c r="R8" s="21" t="s">
        <v>51</v>
      </c>
      <c r="S8" s="21" t="s">
        <v>9</v>
      </c>
      <c r="T8" s="21" t="s">
        <v>129</v>
      </c>
      <c r="U8" s="22" t="s">
        <v>22</v>
      </c>
    </row>
    <row r="9" spans="1:21" ht="35.25" customHeight="1" x14ac:dyDescent="0.35">
      <c r="A9" s="7">
        <v>8</v>
      </c>
      <c r="B9" s="21" t="s">
        <v>15</v>
      </c>
      <c r="C9" s="21" t="s">
        <v>9</v>
      </c>
      <c r="D9" s="21" t="s">
        <v>8</v>
      </c>
      <c r="E9" s="21" t="s">
        <v>14</v>
      </c>
      <c r="F9" s="21" t="s">
        <v>18</v>
      </c>
      <c r="G9" s="21" t="s">
        <v>22</v>
      </c>
      <c r="H9" s="21" t="s">
        <v>21</v>
      </c>
      <c r="I9" s="21" t="s">
        <v>10</v>
      </c>
      <c r="J9" s="21" t="s">
        <v>17</v>
      </c>
      <c r="K9" s="21" t="s">
        <v>7</v>
      </c>
      <c r="L9" s="21" t="s">
        <v>24</v>
      </c>
      <c r="M9" s="21" t="s">
        <v>129</v>
      </c>
      <c r="N9" s="21" t="s">
        <v>11</v>
      </c>
      <c r="O9" s="21" t="s">
        <v>20</v>
      </c>
      <c r="P9" s="21" t="s">
        <v>19</v>
      </c>
      <c r="Q9" s="21" t="s">
        <v>13</v>
      </c>
      <c r="R9" s="21" t="s">
        <v>12</v>
      </c>
      <c r="S9" s="21" t="s">
        <v>51</v>
      </c>
      <c r="T9" s="21" t="s">
        <v>16</v>
      </c>
      <c r="U9" s="22" t="s">
        <v>23</v>
      </c>
    </row>
    <row r="10" spans="1:21" ht="35.25" customHeight="1" x14ac:dyDescent="0.35">
      <c r="A10" s="7">
        <v>9</v>
      </c>
      <c r="B10" s="21" t="s">
        <v>12</v>
      </c>
      <c r="C10" s="21" t="s">
        <v>129</v>
      </c>
      <c r="D10" s="21" t="s">
        <v>17</v>
      </c>
      <c r="E10" s="21" t="s">
        <v>11</v>
      </c>
      <c r="F10" s="21" t="s">
        <v>10</v>
      </c>
      <c r="G10" s="21" t="s">
        <v>7</v>
      </c>
      <c r="H10" s="21" t="s">
        <v>15</v>
      </c>
      <c r="I10" s="21" t="s">
        <v>51</v>
      </c>
      <c r="J10" s="21" t="s">
        <v>8</v>
      </c>
      <c r="K10" s="21" t="s">
        <v>13</v>
      </c>
      <c r="L10" s="21" t="s">
        <v>23</v>
      </c>
      <c r="M10" s="21" t="s">
        <v>9</v>
      </c>
      <c r="N10" s="21" t="s">
        <v>24</v>
      </c>
      <c r="O10" s="21" t="s">
        <v>22</v>
      </c>
      <c r="P10" s="21" t="s">
        <v>21</v>
      </c>
      <c r="Q10" s="21" t="s">
        <v>20</v>
      </c>
      <c r="R10" s="21" t="s">
        <v>19</v>
      </c>
      <c r="S10" s="21" t="s">
        <v>16</v>
      </c>
      <c r="T10" s="21" t="s">
        <v>18</v>
      </c>
      <c r="U10" s="22" t="s">
        <v>14</v>
      </c>
    </row>
    <row r="11" spans="1:21" ht="35.25" customHeight="1" x14ac:dyDescent="0.35">
      <c r="A11" s="7">
        <v>10</v>
      </c>
      <c r="B11" s="21" t="s">
        <v>20</v>
      </c>
      <c r="C11" s="21" t="s">
        <v>11</v>
      </c>
      <c r="D11" s="21" t="s">
        <v>15</v>
      </c>
      <c r="E11" s="21" t="s">
        <v>129</v>
      </c>
      <c r="F11" s="21" t="s">
        <v>8</v>
      </c>
      <c r="G11" s="21" t="s">
        <v>21</v>
      </c>
      <c r="H11" s="21" t="s">
        <v>23</v>
      </c>
      <c r="I11" s="21" t="s">
        <v>24</v>
      </c>
      <c r="J11" s="21" t="s">
        <v>10</v>
      </c>
      <c r="K11" s="21" t="s">
        <v>9</v>
      </c>
      <c r="L11" s="21" t="s">
        <v>18</v>
      </c>
      <c r="M11" s="21" t="s">
        <v>22</v>
      </c>
      <c r="N11" s="21" t="s">
        <v>16</v>
      </c>
      <c r="O11" s="21" t="s">
        <v>51</v>
      </c>
      <c r="P11" s="21" t="s">
        <v>7</v>
      </c>
      <c r="Q11" s="21" t="s">
        <v>12</v>
      </c>
      <c r="R11" s="21" t="s">
        <v>17</v>
      </c>
      <c r="S11" s="21" t="s">
        <v>13</v>
      </c>
      <c r="T11" s="21" t="s">
        <v>14</v>
      </c>
      <c r="U11" s="22" t="s">
        <v>19</v>
      </c>
    </row>
    <row r="12" spans="1:21" ht="35.25" customHeight="1" x14ac:dyDescent="0.35">
      <c r="A12" s="7">
        <v>11</v>
      </c>
      <c r="B12" s="21" t="s">
        <v>8</v>
      </c>
      <c r="C12" s="21" t="s">
        <v>7</v>
      </c>
      <c r="D12" s="21" t="s">
        <v>19</v>
      </c>
      <c r="E12" s="21" t="s">
        <v>21</v>
      </c>
      <c r="F12" s="21" t="s">
        <v>22</v>
      </c>
      <c r="G12" s="21" t="s">
        <v>16</v>
      </c>
      <c r="H12" s="21" t="s">
        <v>20</v>
      </c>
      <c r="I12" s="21" t="s">
        <v>17</v>
      </c>
      <c r="J12" s="21" t="s">
        <v>18</v>
      </c>
      <c r="K12" s="21" t="s">
        <v>51</v>
      </c>
      <c r="L12" s="21" t="s">
        <v>12</v>
      </c>
      <c r="M12" s="21" t="s">
        <v>14</v>
      </c>
      <c r="N12" s="21" t="s">
        <v>129</v>
      </c>
      <c r="O12" s="21" t="s">
        <v>9</v>
      </c>
      <c r="P12" s="21" t="s">
        <v>13</v>
      </c>
      <c r="Q12" s="21" t="s">
        <v>10</v>
      </c>
      <c r="R12" s="21" t="s">
        <v>11</v>
      </c>
      <c r="S12" s="21" t="s">
        <v>24</v>
      </c>
      <c r="T12" s="21" t="s">
        <v>23</v>
      </c>
      <c r="U12" s="22" t="s">
        <v>15</v>
      </c>
    </row>
    <row r="13" spans="1:21" ht="35.25" customHeight="1" x14ac:dyDescent="0.35">
      <c r="A13" s="7">
        <v>12</v>
      </c>
      <c r="B13" s="21" t="s">
        <v>11</v>
      </c>
      <c r="C13" s="21" t="s">
        <v>13</v>
      </c>
      <c r="D13" s="21" t="s">
        <v>18</v>
      </c>
      <c r="E13" s="21" t="s">
        <v>12</v>
      </c>
      <c r="F13" s="21" t="s">
        <v>7</v>
      </c>
      <c r="G13" s="21" t="s">
        <v>10</v>
      </c>
      <c r="H13" s="21" t="s">
        <v>8</v>
      </c>
      <c r="I13" s="21" t="s">
        <v>22</v>
      </c>
      <c r="J13" s="21" t="s">
        <v>51</v>
      </c>
      <c r="K13" s="21" t="s">
        <v>17</v>
      </c>
      <c r="L13" s="21" t="s">
        <v>21</v>
      </c>
      <c r="M13" s="21" t="s">
        <v>15</v>
      </c>
      <c r="N13" s="21" t="s">
        <v>9</v>
      </c>
      <c r="O13" s="21" t="s">
        <v>23</v>
      </c>
      <c r="P13" s="21" t="s">
        <v>24</v>
      </c>
      <c r="Q13" s="21" t="s">
        <v>16</v>
      </c>
      <c r="R13" s="21" t="s">
        <v>14</v>
      </c>
      <c r="S13" s="21" t="s">
        <v>19</v>
      </c>
      <c r="T13" s="21" t="s">
        <v>20</v>
      </c>
      <c r="U13" s="22" t="s">
        <v>129</v>
      </c>
    </row>
    <row r="14" spans="1:21" ht="35.25" customHeight="1" x14ac:dyDescent="0.35">
      <c r="A14" s="7">
        <v>13</v>
      </c>
      <c r="B14" s="21" t="s">
        <v>129</v>
      </c>
      <c r="C14" s="21" t="s">
        <v>51</v>
      </c>
      <c r="D14" s="21" t="s">
        <v>12</v>
      </c>
      <c r="E14" s="21" t="s">
        <v>16</v>
      </c>
      <c r="F14" s="21" t="s">
        <v>20</v>
      </c>
      <c r="G14" s="21" t="s">
        <v>9</v>
      </c>
      <c r="H14" s="21" t="s">
        <v>24</v>
      </c>
      <c r="I14" s="21" t="s">
        <v>15</v>
      </c>
      <c r="J14" s="21" t="s">
        <v>7</v>
      </c>
      <c r="K14" s="21" t="s">
        <v>14</v>
      </c>
      <c r="L14" s="21" t="s">
        <v>10</v>
      </c>
      <c r="M14" s="21" t="s">
        <v>21</v>
      </c>
      <c r="N14" s="21" t="s">
        <v>19</v>
      </c>
      <c r="O14" s="21" t="s">
        <v>18</v>
      </c>
      <c r="P14" s="21" t="s">
        <v>11</v>
      </c>
      <c r="Q14" s="21" t="s">
        <v>17</v>
      </c>
      <c r="R14" s="21" t="s">
        <v>23</v>
      </c>
      <c r="S14" s="21" t="s">
        <v>22</v>
      </c>
      <c r="T14" s="21" t="s">
        <v>13</v>
      </c>
      <c r="U14" s="22" t="s">
        <v>8</v>
      </c>
    </row>
    <row r="15" spans="1:21" ht="35.25" customHeight="1" x14ac:dyDescent="0.35">
      <c r="A15" s="7">
        <v>14</v>
      </c>
      <c r="B15" s="21" t="s">
        <v>14</v>
      </c>
      <c r="C15" s="21" t="s">
        <v>22</v>
      </c>
      <c r="D15" s="21" t="s">
        <v>129</v>
      </c>
      <c r="E15" s="21" t="s">
        <v>24</v>
      </c>
      <c r="F15" s="21" t="s">
        <v>51</v>
      </c>
      <c r="G15" s="21" t="s">
        <v>13</v>
      </c>
      <c r="H15" s="21" t="s">
        <v>12</v>
      </c>
      <c r="I15" s="21" t="s">
        <v>7</v>
      </c>
      <c r="J15" s="21" t="s">
        <v>9</v>
      </c>
      <c r="K15" s="21" t="s">
        <v>18</v>
      </c>
      <c r="L15" s="21" t="s">
        <v>19</v>
      </c>
      <c r="M15" s="21" t="s">
        <v>20</v>
      </c>
      <c r="N15" s="21" t="s">
        <v>15</v>
      </c>
      <c r="O15" s="21" t="s">
        <v>16</v>
      </c>
      <c r="P15" s="21" t="s">
        <v>17</v>
      </c>
      <c r="Q15" s="21" t="s">
        <v>23</v>
      </c>
      <c r="R15" s="21" t="s">
        <v>8</v>
      </c>
      <c r="S15" s="21" t="s">
        <v>21</v>
      </c>
      <c r="T15" s="21" t="s">
        <v>10</v>
      </c>
      <c r="U15" s="22" t="s">
        <v>11</v>
      </c>
    </row>
    <row r="16" spans="1:21" ht="35.25" customHeight="1" x14ac:dyDescent="0.35">
      <c r="A16" s="7">
        <v>15</v>
      </c>
      <c r="B16" s="21" t="s">
        <v>23</v>
      </c>
      <c r="C16" s="21" t="s">
        <v>10</v>
      </c>
      <c r="D16" s="21" t="s">
        <v>11</v>
      </c>
      <c r="E16" s="21" t="s">
        <v>8</v>
      </c>
      <c r="F16" s="21" t="s">
        <v>9</v>
      </c>
      <c r="G16" s="21" t="s">
        <v>19</v>
      </c>
      <c r="H16" s="21" t="s">
        <v>17</v>
      </c>
      <c r="I16" s="21" t="s">
        <v>21</v>
      </c>
      <c r="J16" s="21" t="s">
        <v>15</v>
      </c>
      <c r="K16" s="21" t="s">
        <v>129</v>
      </c>
      <c r="L16" s="21" t="s">
        <v>20</v>
      </c>
      <c r="M16" s="21" t="s">
        <v>13</v>
      </c>
      <c r="N16" s="21" t="s">
        <v>51</v>
      </c>
      <c r="O16" s="21" t="s">
        <v>12</v>
      </c>
      <c r="P16" s="21" t="s">
        <v>16</v>
      </c>
      <c r="Q16" s="21" t="s">
        <v>14</v>
      </c>
      <c r="R16" s="21" t="s">
        <v>24</v>
      </c>
      <c r="S16" s="21" t="s">
        <v>7</v>
      </c>
      <c r="T16" s="21" t="s">
        <v>22</v>
      </c>
      <c r="U16" s="22" t="s">
        <v>18</v>
      </c>
    </row>
    <row r="17" spans="1:21" ht="35.25" customHeight="1" x14ac:dyDescent="0.35">
      <c r="A17" s="7">
        <v>16</v>
      </c>
      <c r="B17" s="21" t="s">
        <v>18</v>
      </c>
      <c r="C17" s="21" t="s">
        <v>20</v>
      </c>
      <c r="D17" s="21" t="s">
        <v>16</v>
      </c>
      <c r="E17" s="21" t="s">
        <v>22</v>
      </c>
      <c r="F17" s="21" t="s">
        <v>15</v>
      </c>
      <c r="G17" s="21" t="s">
        <v>23</v>
      </c>
      <c r="H17" s="21" t="s">
        <v>14</v>
      </c>
      <c r="I17" s="21" t="s">
        <v>13</v>
      </c>
      <c r="J17" s="21" t="s">
        <v>19</v>
      </c>
      <c r="K17" s="21" t="s">
        <v>11</v>
      </c>
      <c r="L17" s="21" t="s">
        <v>9</v>
      </c>
      <c r="M17" s="21" t="s">
        <v>51</v>
      </c>
      <c r="N17" s="21" t="s">
        <v>7</v>
      </c>
      <c r="O17" s="21" t="s">
        <v>129</v>
      </c>
      <c r="P17" s="21" t="s">
        <v>8</v>
      </c>
      <c r="Q17" s="21" t="s">
        <v>24</v>
      </c>
      <c r="R17" s="21" t="s">
        <v>10</v>
      </c>
      <c r="S17" s="21" t="s">
        <v>12</v>
      </c>
      <c r="T17" s="21" t="s">
        <v>21</v>
      </c>
      <c r="U17" s="22" t="s">
        <v>17</v>
      </c>
    </row>
    <row r="18" spans="1:21" ht="35.25" customHeight="1" x14ac:dyDescent="0.35">
      <c r="A18" s="7">
        <v>17</v>
      </c>
      <c r="B18" s="21" t="s">
        <v>22</v>
      </c>
      <c r="C18" s="21" t="s">
        <v>19</v>
      </c>
      <c r="D18" s="21" t="s">
        <v>24</v>
      </c>
      <c r="E18" s="21" t="s">
        <v>18</v>
      </c>
      <c r="F18" s="21" t="s">
        <v>13</v>
      </c>
      <c r="G18" s="21" t="s">
        <v>51</v>
      </c>
      <c r="H18" s="21" t="s">
        <v>11</v>
      </c>
      <c r="I18" s="21" t="s">
        <v>16</v>
      </c>
      <c r="J18" s="21" t="s">
        <v>20</v>
      </c>
      <c r="K18" s="21" t="s">
        <v>21</v>
      </c>
      <c r="L18" s="21" t="s">
        <v>14</v>
      </c>
      <c r="M18" s="21" t="s">
        <v>23</v>
      </c>
      <c r="N18" s="21" t="s">
        <v>10</v>
      </c>
      <c r="O18" s="21" t="s">
        <v>8</v>
      </c>
      <c r="P18" s="21" t="s">
        <v>129</v>
      </c>
      <c r="Q18" s="21" t="s">
        <v>15</v>
      </c>
      <c r="R18" s="21" t="s">
        <v>7</v>
      </c>
      <c r="S18" s="21" t="s">
        <v>17</v>
      </c>
      <c r="T18" s="21" t="s">
        <v>9</v>
      </c>
      <c r="U18" s="22" t="s">
        <v>12</v>
      </c>
    </row>
    <row r="19" spans="1:21" ht="35.25" customHeight="1" x14ac:dyDescent="0.35">
      <c r="A19" s="7">
        <v>18</v>
      </c>
      <c r="B19" s="21" t="s">
        <v>21</v>
      </c>
      <c r="C19" s="21" t="s">
        <v>14</v>
      </c>
      <c r="D19" s="21" t="s">
        <v>51</v>
      </c>
      <c r="E19" s="21" t="s">
        <v>19</v>
      </c>
      <c r="F19" s="21" t="s">
        <v>129</v>
      </c>
      <c r="G19" s="21" t="s">
        <v>15</v>
      </c>
      <c r="H19" s="21" t="s">
        <v>18</v>
      </c>
      <c r="I19" s="21" t="s">
        <v>8</v>
      </c>
      <c r="J19" s="21" t="s">
        <v>11</v>
      </c>
      <c r="K19" s="21" t="s">
        <v>12</v>
      </c>
      <c r="L19" s="21" t="s">
        <v>22</v>
      </c>
      <c r="M19" s="21" t="s">
        <v>24</v>
      </c>
      <c r="N19" s="21" t="s">
        <v>13</v>
      </c>
      <c r="O19" s="21" t="s">
        <v>10</v>
      </c>
      <c r="P19" s="21" t="s">
        <v>23</v>
      </c>
      <c r="Q19" s="21" t="s">
        <v>7</v>
      </c>
      <c r="R19" s="21" t="s">
        <v>16</v>
      </c>
      <c r="S19" s="21" t="s">
        <v>20</v>
      </c>
      <c r="T19" s="21" t="s">
        <v>17</v>
      </c>
      <c r="U19" s="22" t="s">
        <v>9</v>
      </c>
    </row>
    <row r="20" spans="1:21" ht="35.25" customHeight="1" x14ac:dyDescent="0.35">
      <c r="A20" s="7">
        <v>19</v>
      </c>
      <c r="B20" s="21" t="s">
        <v>9</v>
      </c>
      <c r="C20" s="21" t="s">
        <v>18</v>
      </c>
      <c r="D20" s="21" t="s">
        <v>7</v>
      </c>
      <c r="E20" s="21" t="s">
        <v>17</v>
      </c>
      <c r="F20" s="21" t="s">
        <v>16</v>
      </c>
      <c r="G20" s="21" t="s">
        <v>24</v>
      </c>
      <c r="H20" s="21" t="s">
        <v>22</v>
      </c>
      <c r="I20" s="21" t="s">
        <v>23</v>
      </c>
      <c r="J20" s="21" t="s">
        <v>21</v>
      </c>
      <c r="K20" s="21" t="s">
        <v>19</v>
      </c>
      <c r="L20" s="21" t="s">
        <v>11</v>
      </c>
      <c r="M20" s="21" t="s">
        <v>10</v>
      </c>
      <c r="N20" s="21" t="s">
        <v>8</v>
      </c>
      <c r="O20" s="21" t="s">
        <v>15</v>
      </c>
      <c r="P20" s="21" t="s">
        <v>51</v>
      </c>
      <c r="Q20" s="21" t="s">
        <v>129</v>
      </c>
      <c r="R20" s="21" t="s">
        <v>13</v>
      </c>
      <c r="S20" s="21" t="s">
        <v>14</v>
      </c>
      <c r="T20" s="21" t="s">
        <v>12</v>
      </c>
      <c r="U20" s="22" t="s">
        <v>20</v>
      </c>
    </row>
    <row r="21" spans="1:21" ht="35.25" customHeight="1" x14ac:dyDescent="0.35">
      <c r="A21" s="7">
        <v>20</v>
      </c>
      <c r="B21" s="21" t="s">
        <v>12</v>
      </c>
      <c r="C21" s="21" t="s">
        <v>129</v>
      </c>
      <c r="D21" s="21" t="s">
        <v>17</v>
      </c>
      <c r="E21" s="21" t="s">
        <v>11</v>
      </c>
      <c r="F21" s="21" t="s">
        <v>10</v>
      </c>
      <c r="G21" s="21" t="s">
        <v>7</v>
      </c>
      <c r="H21" s="21" t="s">
        <v>15</v>
      </c>
      <c r="I21" s="21" t="s">
        <v>51</v>
      </c>
      <c r="J21" s="21" t="s">
        <v>8</v>
      </c>
      <c r="K21" s="21" t="s">
        <v>13</v>
      </c>
      <c r="L21" s="21" t="s">
        <v>23</v>
      </c>
      <c r="M21" s="21" t="s">
        <v>9</v>
      </c>
      <c r="N21" s="21" t="s">
        <v>24</v>
      </c>
      <c r="O21" s="21" t="s">
        <v>22</v>
      </c>
      <c r="P21" s="21" t="s">
        <v>21</v>
      </c>
      <c r="Q21" s="21" t="s">
        <v>20</v>
      </c>
      <c r="R21" s="21" t="s">
        <v>19</v>
      </c>
      <c r="S21" s="21" t="s">
        <v>16</v>
      </c>
      <c r="T21" s="21" t="s">
        <v>18</v>
      </c>
      <c r="U21" s="22" t="s">
        <v>14</v>
      </c>
    </row>
    <row r="22" spans="1:21" ht="35.25" customHeight="1" x14ac:dyDescent="0.35">
      <c r="A22" s="7">
        <v>21</v>
      </c>
      <c r="B22" s="21" t="s">
        <v>15</v>
      </c>
      <c r="C22" s="21" t="s">
        <v>9</v>
      </c>
      <c r="D22" s="21" t="s">
        <v>8</v>
      </c>
      <c r="E22" s="21" t="s">
        <v>23</v>
      </c>
      <c r="F22" s="21" t="s">
        <v>12</v>
      </c>
      <c r="G22" s="21" t="s">
        <v>11</v>
      </c>
      <c r="H22" s="21" t="s">
        <v>21</v>
      </c>
      <c r="I22" s="21" t="s">
        <v>129</v>
      </c>
      <c r="J22" s="21" t="s">
        <v>14</v>
      </c>
      <c r="K22" s="21" t="s">
        <v>7</v>
      </c>
      <c r="L22" s="21" t="s">
        <v>17</v>
      </c>
      <c r="M22" s="21" t="s">
        <v>16</v>
      </c>
      <c r="N22" s="21" t="s">
        <v>22</v>
      </c>
      <c r="O22" s="21" t="s">
        <v>20</v>
      </c>
      <c r="P22" s="21" t="s">
        <v>19</v>
      </c>
      <c r="Q22" s="21" t="s">
        <v>13</v>
      </c>
      <c r="R22" s="21" t="s">
        <v>18</v>
      </c>
      <c r="S22" s="21" t="s">
        <v>10</v>
      </c>
      <c r="T22" s="21" t="s">
        <v>51</v>
      </c>
      <c r="U22" s="22" t="s">
        <v>24</v>
      </c>
    </row>
    <row r="23" spans="1:21" ht="35.25" customHeight="1" x14ac:dyDescent="0.35">
      <c r="A23" s="7">
        <v>22</v>
      </c>
      <c r="B23" s="21" t="s">
        <v>10</v>
      </c>
      <c r="C23" s="21" t="s">
        <v>15</v>
      </c>
      <c r="D23" s="21" t="s">
        <v>23</v>
      </c>
      <c r="E23" s="21" t="s">
        <v>7</v>
      </c>
      <c r="F23" s="21" t="s">
        <v>21</v>
      </c>
      <c r="G23" s="21" t="s">
        <v>17</v>
      </c>
      <c r="H23" s="21" t="s">
        <v>16</v>
      </c>
      <c r="I23" s="21" t="s">
        <v>19</v>
      </c>
      <c r="J23" s="21" t="s">
        <v>24</v>
      </c>
      <c r="K23" s="21" t="s">
        <v>8</v>
      </c>
      <c r="L23" s="21" t="s">
        <v>13</v>
      </c>
      <c r="M23" s="21" t="s">
        <v>12</v>
      </c>
      <c r="N23" s="21" t="s">
        <v>20</v>
      </c>
      <c r="O23" s="21" t="s">
        <v>14</v>
      </c>
      <c r="P23" s="21" t="s">
        <v>18</v>
      </c>
      <c r="Q23" s="21" t="s">
        <v>11</v>
      </c>
      <c r="R23" s="21" t="s">
        <v>51</v>
      </c>
      <c r="S23" s="21" t="s">
        <v>9</v>
      </c>
      <c r="T23" s="21" t="s">
        <v>129</v>
      </c>
      <c r="U23" s="22" t="s">
        <v>22</v>
      </c>
    </row>
    <row r="24" spans="1:21" ht="35.25" customHeight="1" x14ac:dyDescent="0.35">
      <c r="A24" s="7">
        <v>23</v>
      </c>
      <c r="B24" s="21" t="s">
        <v>19</v>
      </c>
      <c r="C24" s="21" t="s">
        <v>21</v>
      </c>
      <c r="D24" s="21" t="s">
        <v>13</v>
      </c>
      <c r="E24" s="21" t="s">
        <v>14</v>
      </c>
      <c r="F24" s="21" t="s">
        <v>18</v>
      </c>
      <c r="G24" s="21" t="s">
        <v>22</v>
      </c>
      <c r="H24" s="21" t="s">
        <v>9</v>
      </c>
      <c r="I24" s="21" t="s">
        <v>10</v>
      </c>
      <c r="J24" s="21" t="s">
        <v>17</v>
      </c>
      <c r="K24" s="21" t="s">
        <v>20</v>
      </c>
      <c r="L24" s="21" t="s">
        <v>24</v>
      </c>
      <c r="M24" s="21" t="s">
        <v>129</v>
      </c>
      <c r="N24" s="21" t="s">
        <v>11</v>
      </c>
      <c r="O24" s="21" t="s">
        <v>7</v>
      </c>
      <c r="P24" s="21" t="s">
        <v>15</v>
      </c>
      <c r="Q24" s="21" t="s">
        <v>8</v>
      </c>
      <c r="R24" s="21" t="s">
        <v>12</v>
      </c>
      <c r="S24" s="21" t="s">
        <v>51</v>
      </c>
      <c r="T24" s="21" t="s">
        <v>16</v>
      </c>
      <c r="U24" s="22" t="s">
        <v>23</v>
      </c>
    </row>
    <row r="25" spans="1:21" ht="35.25" customHeight="1" x14ac:dyDescent="0.35">
      <c r="A25" s="7">
        <v>24</v>
      </c>
      <c r="B25" s="21" t="s">
        <v>51</v>
      </c>
      <c r="C25" s="21" t="s">
        <v>16</v>
      </c>
      <c r="D25" s="21" t="s">
        <v>20</v>
      </c>
      <c r="E25" s="21" t="s">
        <v>13</v>
      </c>
      <c r="F25" s="21" t="s">
        <v>19</v>
      </c>
      <c r="G25" s="21" t="s">
        <v>14</v>
      </c>
      <c r="H25" s="21" t="s">
        <v>10</v>
      </c>
      <c r="I25" s="21" t="s">
        <v>12</v>
      </c>
      <c r="J25" s="21" t="s">
        <v>23</v>
      </c>
      <c r="K25" s="21" t="s">
        <v>24</v>
      </c>
      <c r="L25" s="21" t="s">
        <v>8</v>
      </c>
      <c r="M25" s="21" t="s">
        <v>18</v>
      </c>
      <c r="N25" s="21" t="s">
        <v>17</v>
      </c>
      <c r="O25" s="21" t="s">
        <v>11</v>
      </c>
      <c r="P25" s="21" t="s">
        <v>9</v>
      </c>
      <c r="Q25" s="21" t="s">
        <v>22</v>
      </c>
      <c r="R25" s="21" t="s">
        <v>21</v>
      </c>
      <c r="S25" s="21" t="s">
        <v>129</v>
      </c>
      <c r="T25" s="21" t="s">
        <v>15</v>
      </c>
      <c r="U25" s="22" t="s">
        <v>7</v>
      </c>
    </row>
    <row r="26" spans="1:21" ht="35.25" customHeight="1" x14ac:dyDescent="0.35">
      <c r="A26" s="7">
        <v>25</v>
      </c>
      <c r="B26" s="21" t="s">
        <v>24</v>
      </c>
      <c r="C26" s="21" t="s">
        <v>17</v>
      </c>
      <c r="D26" s="21" t="s">
        <v>10</v>
      </c>
      <c r="E26" s="21" t="s">
        <v>9</v>
      </c>
      <c r="F26" s="21" t="s">
        <v>14</v>
      </c>
      <c r="G26" s="21" t="s">
        <v>18</v>
      </c>
      <c r="H26" s="21" t="s">
        <v>51</v>
      </c>
      <c r="I26" s="21" t="s">
        <v>11</v>
      </c>
      <c r="J26" s="21" t="s">
        <v>16</v>
      </c>
      <c r="K26" s="21" t="s">
        <v>23</v>
      </c>
      <c r="L26" s="21" t="s">
        <v>129</v>
      </c>
      <c r="M26" s="21" t="s">
        <v>8</v>
      </c>
      <c r="N26" s="21" t="s">
        <v>12</v>
      </c>
      <c r="O26" s="21" t="s">
        <v>21</v>
      </c>
      <c r="P26" s="21" t="s">
        <v>22</v>
      </c>
      <c r="Q26" s="21" t="s">
        <v>19</v>
      </c>
      <c r="R26" s="21" t="s">
        <v>20</v>
      </c>
      <c r="S26" s="21" t="s">
        <v>15</v>
      </c>
      <c r="T26" s="21" t="s">
        <v>7</v>
      </c>
      <c r="U26" s="22" t="s">
        <v>13</v>
      </c>
    </row>
    <row r="27" spans="1:21" ht="35.25" customHeight="1" x14ac:dyDescent="0.35">
      <c r="A27" s="7">
        <v>26</v>
      </c>
      <c r="B27" s="21" t="s">
        <v>16</v>
      </c>
      <c r="C27" s="21" t="s">
        <v>12</v>
      </c>
      <c r="D27" s="21" t="s">
        <v>22</v>
      </c>
      <c r="E27" s="21" t="s">
        <v>15</v>
      </c>
      <c r="F27" s="21" t="s">
        <v>24</v>
      </c>
      <c r="G27" s="21" t="s">
        <v>8</v>
      </c>
      <c r="H27" s="21" t="s">
        <v>129</v>
      </c>
      <c r="I27" s="21" t="s">
        <v>20</v>
      </c>
      <c r="J27" s="21" t="s">
        <v>13</v>
      </c>
      <c r="K27" s="21" t="s">
        <v>10</v>
      </c>
      <c r="L27" s="21" t="s">
        <v>7</v>
      </c>
      <c r="M27" s="21" t="s">
        <v>19</v>
      </c>
      <c r="N27" s="21" t="s">
        <v>23</v>
      </c>
      <c r="O27" s="21" t="s">
        <v>17</v>
      </c>
      <c r="P27" s="21" t="s">
        <v>14</v>
      </c>
      <c r="Q27" s="21" t="s">
        <v>51</v>
      </c>
      <c r="R27" s="21" t="s">
        <v>9</v>
      </c>
      <c r="S27" s="21" t="s">
        <v>18</v>
      </c>
      <c r="T27" s="21" t="s">
        <v>11</v>
      </c>
      <c r="U27" s="22" t="s">
        <v>21</v>
      </c>
    </row>
    <row r="28" spans="1:21" ht="35.25" customHeight="1" x14ac:dyDescent="0.35">
      <c r="A28" s="7">
        <v>27</v>
      </c>
      <c r="B28" s="21" t="s">
        <v>17</v>
      </c>
      <c r="C28" s="21" t="s">
        <v>24</v>
      </c>
      <c r="D28" s="21" t="s">
        <v>14</v>
      </c>
      <c r="E28" s="21" t="s">
        <v>51</v>
      </c>
      <c r="F28" s="21" t="s">
        <v>23</v>
      </c>
      <c r="G28" s="21" t="s">
        <v>20</v>
      </c>
      <c r="H28" s="21" t="s">
        <v>19</v>
      </c>
      <c r="I28" s="21" t="s">
        <v>9</v>
      </c>
      <c r="J28" s="21" t="s">
        <v>22</v>
      </c>
      <c r="K28" s="21" t="s">
        <v>16</v>
      </c>
      <c r="L28" s="21" t="s">
        <v>15</v>
      </c>
      <c r="M28" s="21" t="s">
        <v>7</v>
      </c>
      <c r="N28" s="21" t="s">
        <v>21</v>
      </c>
      <c r="O28" s="21" t="s">
        <v>13</v>
      </c>
      <c r="P28" s="21" t="s">
        <v>12</v>
      </c>
      <c r="Q28" s="21" t="s">
        <v>18</v>
      </c>
      <c r="R28" s="21" t="s">
        <v>129</v>
      </c>
      <c r="S28" s="21" t="s">
        <v>11</v>
      </c>
      <c r="T28" s="21" t="s">
        <v>8</v>
      </c>
      <c r="U28" s="22" t="s">
        <v>10</v>
      </c>
    </row>
    <row r="29" spans="1:21" ht="35.25" customHeight="1" x14ac:dyDescent="0.35">
      <c r="A29" s="7">
        <v>28</v>
      </c>
      <c r="B29" s="21" t="s">
        <v>13</v>
      </c>
      <c r="C29" s="21" t="s">
        <v>23</v>
      </c>
      <c r="D29" s="21" t="s">
        <v>21</v>
      </c>
      <c r="E29" s="21" t="s">
        <v>20</v>
      </c>
      <c r="F29" s="21" t="s">
        <v>17</v>
      </c>
      <c r="G29" s="21" t="s">
        <v>129</v>
      </c>
      <c r="H29" s="21" t="s">
        <v>7</v>
      </c>
      <c r="I29" s="21" t="s">
        <v>18</v>
      </c>
      <c r="J29" s="21" t="s">
        <v>12</v>
      </c>
      <c r="K29" s="21" t="s">
        <v>22</v>
      </c>
      <c r="L29" s="21" t="s">
        <v>51</v>
      </c>
      <c r="M29" s="21" t="s">
        <v>11</v>
      </c>
      <c r="N29" s="21" t="s">
        <v>14</v>
      </c>
      <c r="O29" s="21" t="s">
        <v>24</v>
      </c>
      <c r="P29" s="21" t="s">
        <v>10</v>
      </c>
      <c r="Q29" s="21" t="s">
        <v>9</v>
      </c>
      <c r="R29" s="21" t="s">
        <v>15</v>
      </c>
      <c r="S29" s="21" t="s">
        <v>8</v>
      </c>
      <c r="T29" s="21" t="s">
        <v>19</v>
      </c>
      <c r="U29" s="22" t="s">
        <v>16</v>
      </c>
    </row>
    <row r="30" spans="1:21" ht="35.25" customHeight="1" x14ac:dyDescent="0.35">
      <c r="A30" s="7">
        <v>29</v>
      </c>
      <c r="B30" s="21" t="s">
        <v>8</v>
      </c>
      <c r="C30" s="21" t="s">
        <v>7</v>
      </c>
      <c r="D30" s="21" t="s">
        <v>19</v>
      </c>
      <c r="E30" s="21" t="s">
        <v>21</v>
      </c>
      <c r="F30" s="21" t="s">
        <v>22</v>
      </c>
      <c r="G30" s="21" t="s">
        <v>16</v>
      </c>
      <c r="H30" s="21" t="s">
        <v>20</v>
      </c>
      <c r="I30" s="21" t="s">
        <v>17</v>
      </c>
      <c r="J30" s="21" t="s">
        <v>18</v>
      </c>
      <c r="K30" s="21" t="s">
        <v>51</v>
      </c>
      <c r="L30" s="21" t="s">
        <v>12</v>
      </c>
      <c r="M30" s="21" t="s">
        <v>14</v>
      </c>
      <c r="N30" s="21" t="s">
        <v>129</v>
      </c>
      <c r="O30" s="21" t="s">
        <v>19</v>
      </c>
      <c r="P30" s="21" t="s">
        <v>13</v>
      </c>
      <c r="Q30" s="21" t="s">
        <v>10</v>
      </c>
      <c r="R30" s="21" t="s">
        <v>11</v>
      </c>
      <c r="S30" s="21" t="s">
        <v>24</v>
      </c>
      <c r="T30" s="21" t="s">
        <v>23</v>
      </c>
      <c r="U30" s="22" t="s">
        <v>15</v>
      </c>
    </row>
    <row r="31" spans="1:21" ht="35.25" customHeight="1" x14ac:dyDescent="0.35">
      <c r="A31" s="7">
        <v>30</v>
      </c>
      <c r="B31" s="21" t="s">
        <v>20</v>
      </c>
      <c r="C31" s="21" t="s">
        <v>11</v>
      </c>
      <c r="D31" s="21" t="s">
        <v>15</v>
      </c>
      <c r="E31" s="21" t="s">
        <v>129</v>
      </c>
      <c r="F31" s="21" t="s">
        <v>8</v>
      </c>
      <c r="G31" s="21" t="s">
        <v>21</v>
      </c>
      <c r="H31" s="21" t="s">
        <v>23</v>
      </c>
      <c r="I31" s="21" t="s">
        <v>24</v>
      </c>
      <c r="J31" s="21" t="s">
        <v>10</v>
      </c>
      <c r="K31" s="21" t="s">
        <v>9</v>
      </c>
      <c r="L31" s="21" t="s">
        <v>18</v>
      </c>
      <c r="M31" s="21" t="s">
        <v>22</v>
      </c>
      <c r="N31" s="21" t="s">
        <v>16</v>
      </c>
      <c r="O31" s="21" t="s">
        <v>51</v>
      </c>
      <c r="P31" s="21" t="s">
        <v>7</v>
      </c>
      <c r="Q31" s="21" t="s">
        <v>12</v>
      </c>
      <c r="R31" s="21" t="s">
        <v>17</v>
      </c>
      <c r="S31" s="21" t="s">
        <v>13</v>
      </c>
      <c r="T31" s="21" t="s">
        <v>14</v>
      </c>
      <c r="U31" s="22" t="s">
        <v>19</v>
      </c>
    </row>
    <row r="32" spans="1:21" ht="35.25" customHeight="1" x14ac:dyDescent="0.35">
      <c r="A32" s="7">
        <v>31</v>
      </c>
      <c r="B32" s="21" t="s">
        <v>14</v>
      </c>
      <c r="C32" s="21" t="s">
        <v>22</v>
      </c>
      <c r="D32" s="21" t="s">
        <v>129</v>
      </c>
      <c r="E32" s="21" t="s">
        <v>24</v>
      </c>
      <c r="F32" s="21" t="s">
        <v>13</v>
      </c>
      <c r="G32" s="21" t="s">
        <v>51</v>
      </c>
      <c r="H32" s="21" t="s">
        <v>11</v>
      </c>
      <c r="I32" s="21" t="s">
        <v>7</v>
      </c>
      <c r="J32" s="21" t="s">
        <v>9</v>
      </c>
      <c r="K32" s="21" t="s">
        <v>18</v>
      </c>
      <c r="L32" s="21" t="s">
        <v>19</v>
      </c>
      <c r="M32" s="21" t="s">
        <v>20</v>
      </c>
      <c r="N32" s="21" t="s">
        <v>15</v>
      </c>
      <c r="O32" s="21" t="s">
        <v>16</v>
      </c>
      <c r="P32" s="21" t="s">
        <v>17</v>
      </c>
      <c r="Q32" s="21" t="s">
        <v>23</v>
      </c>
      <c r="R32" s="21" t="s">
        <v>8</v>
      </c>
      <c r="S32" s="21" t="s">
        <v>21</v>
      </c>
      <c r="T32" s="21" t="s">
        <v>10</v>
      </c>
      <c r="U32" s="22" t="s">
        <v>12</v>
      </c>
    </row>
    <row r="33" spans="1:21" ht="35.25" customHeight="1" x14ac:dyDescent="0.35">
      <c r="A33" s="7">
        <v>32</v>
      </c>
      <c r="B33" s="21" t="s">
        <v>129</v>
      </c>
      <c r="C33" s="21" t="s">
        <v>51</v>
      </c>
      <c r="D33" s="21" t="s">
        <v>12</v>
      </c>
      <c r="E33" s="21" t="s">
        <v>16</v>
      </c>
      <c r="F33" s="21" t="s">
        <v>20</v>
      </c>
      <c r="G33" s="21" t="s">
        <v>9</v>
      </c>
      <c r="H33" s="21" t="s">
        <v>24</v>
      </c>
      <c r="I33" s="21" t="s">
        <v>15</v>
      </c>
      <c r="J33" s="21" t="s">
        <v>7</v>
      </c>
      <c r="K33" s="21" t="s">
        <v>14</v>
      </c>
      <c r="L33" s="21" t="s">
        <v>10</v>
      </c>
      <c r="M33" s="21" t="s">
        <v>21</v>
      </c>
      <c r="N33" s="21" t="s">
        <v>19</v>
      </c>
      <c r="O33" s="21" t="s">
        <v>18</v>
      </c>
      <c r="P33" s="21" t="s">
        <v>11</v>
      </c>
      <c r="Q33" s="21" t="s">
        <v>17</v>
      </c>
      <c r="R33" s="21" t="s">
        <v>23</v>
      </c>
      <c r="S33" s="21" t="s">
        <v>22</v>
      </c>
      <c r="T33" s="21" t="s">
        <v>13</v>
      </c>
      <c r="U33" s="22" t="s">
        <v>8</v>
      </c>
    </row>
    <row r="34" spans="1:21" ht="35.25" customHeight="1" x14ac:dyDescent="0.35">
      <c r="A34" s="7">
        <v>33</v>
      </c>
      <c r="B34" s="21" t="s">
        <v>11</v>
      </c>
      <c r="C34" s="21" t="s">
        <v>13</v>
      </c>
      <c r="D34" s="21" t="s">
        <v>18</v>
      </c>
      <c r="E34" s="21" t="s">
        <v>12</v>
      </c>
      <c r="F34" s="21" t="s">
        <v>11</v>
      </c>
      <c r="G34" s="21" t="s">
        <v>10</v>
      </c>
      <c r="H34" s="21" t="s">
        <v>8</v>
      </c>
      <c r="I34" s="21" t="s">
        <v>22</v>
      </c>
      <c r="J34" s="21" t="s">
        <v>51</v>
      </c>
      <c r="K34" s="21" t="s">
        <v>17</v>
      </c>
      <c r="L34" s="21" t="s">
        <v>21</v>
      </c>
      <c r="M34" s="21" t="s">
        <v>15</v>
      </c>
      <c r="N34" s="21" t="s">
        <v>9</v>
      </c>
      <c r="O34" s="21" t="s">
        <v>23</v>
      </c>
      <c r="P34" s="21" t="s">
        <v>24</v>
      </c>
      <c r="Q34" s="21" t="s">
        <v>16</v>
      </c>
      <c r="R34" s="21" t="s">
        <v>14</v>
      </c>
      <c r="S34" s="21" t="s">
        <v>19</v>
      </c>
      <c r="T34" s="21" t="s">
        <v>20</v>
      </c>
      <c r="U34" s="22" t="s">
        <v>129</v>
      </c>
    </row>
    <row r="35" spans="1:21" ht="35.25" customHeight="1" x14ac:dyDescent="0.35">
      <c r="A35" s="7">
        <v>34</v>
      </c>
      <c r="B35" s="21" t="s">
        <v>23</v>
      </c>
      <c r="C35" s="21" t="s">
        <v>10</v>
      </c>
      <c r="D35" s="21" t="s">
        <v>11</v>
      </c>
      <c r="E35" s="21" t="s">
        <v>8</v>
      </c>
      <c r="F35" s="21" t="s">
        <v>9</v>
      </c>
      <c r="G35" s="21" t="s">
        <v>19</v>
      </c>
      <c r="H35" s="21" t="s">
        <v>17</v>
      </c>
      <c r="I35" s="21" t="s">
        <v>21</v>
      </c>
      <c r="J35" s="21" t="s">
        <v>15</v>
      </c>
      <c r="K35" s="21" t="s">
        <v>129</v>
      </c>
      <c r="L35" s="21" t="s">
        <v>20</v>
      </c>
      <c r="M35" s="21" t="s">
        <v>13</v>
      </c>
      <c r="N35" s="21" t="s">
        <v>51</v>
      </c>
      <c r="O35" s="21" t="s">
        <v>12</v>
      </c>
      <c r="P35" s="21" t="s">
        <v>16</v>
      </c>
      <c r="Q35" s="21" t="s">
        <v>14</v>
      </c>
      <c r="R35" s="21" t="s">
        <v>24</v>
      </c>
      <c r="S35" s="21" t="s">
        <v>7</v>
      </c>
      <c r="T35" s="21" t="s">
        <v>22</v>
      </c>
      <c r="U35" s="22" t="s">
        <v>18</v>
      </c>
    </row>
    <row r="36" spans="1:21" ht="35.25" customHeight="1" x14ac:dyDescent="0.35">
      <c r="A36" s="7">
        <v>35</v>
      </c>
      <c r="B36" s="21" t="s">
        <v>22</v>
      </c>
      <c r="C36" s="21" t="s">
        <v>18</v>
      </c>
      <c r="D36" s="21" t="s">
        <v>24</v>
      </c>
      <c r="E36" s="21" t="s">
        <v>17</v>
      </c>
      <c r="F36" s="21" t="s">
        <v>16</v>
      </c>
      <c r="G36" s="21" t="s">
        <v>13</v>
      </c>
      <c r="H36" s="21" t="s">
        <v>12</v>
      </c>
      <c r="I36" s="21" t="s">
        <v>23</v>
      </c>
      <c r="J36" s="21" t="s">
        <v>21</v>
      </c>
      <c r="K36" s="21" t="s">
        <v>19</v>
      </c>
      <c r="L36" s="21" t="s">
        <v>11</v>
      </c>
      <c r="M36" s="21" t="s">
        <v>10</v>
      </c>
      <c r="N36" s="21" t="s">
        <v>8</v>
      </c>
      <c r="O36" s="21" t="s">
        <v>15</v>
      </c>
      <c r="P36" s="21" t="s">
        <v>51</v>
      </c>
      <c r="Q36" s="21" t="s">
        <v>129</v>
      </c>
      <c r="R36" s="21" t="s">
        <v>7</v>
      </c>
      <c r="S36" s="21" t="s">
        <v>14</v>
      </c>
      <c r="T36" s="21" t="s">
        <v>9</v>
      </c>
      <c r="U36" s="22" t="s">
        <v>20</v>
      </c>
    </row>
    <row r="37" spans="1:21" ht="35.25" customHeight="1" x14ac:dyDescent="0.35">
      <c r="A37" s="7">
        <v>36</v>
      </c>
      <c r="B37" s="21" t="s">
        <v>21</v>
      </c>
      <c r="C37" s="21" t="s">
        <v>14</v>
      </c>
      <c r="D37" s="21" t="s">
        <v>51</v>
      </c>
      <c r="E37" s="21" t="s">
        <v>19</v>
      </c>
      <c r="F37" s="21" t="s">
        <v>129</v>
      </c>
      <c r="G37" s="21" t="s">
        <v>15</v>
      </c>
      <c r="H37" s="21" t="s">
        <v>18</v>
      </c>
      <c r="I37" s="21" t="s">
        <v>8</v>
      </c>
      <c r="J37" s="21" t="s">
        <v>11</v>
      </c>
      <c r="K37" s="21" t="s">
        <v>12</v>
      </c>
      <c r="L37" s="21" t="s">
        <v>22</v>
      </c>
      <c r="M37" s="21" t="s">
        <v>24</v>
      </c>
      <c r="N37" s="21" t="s">
        <v>13</v>
      </c>
      <c r="O37" s="21" t="s">
        <v>10</v>
      </c>
      <c r="P37" s="21" t="s">
        <v>23</v>
      </c>
      <c r="Q37" s="21" t="s">
        <v>7</v>
      </c>
      <c r="R37" s="21" t="s">
        <v>16</v>
      </c>
      <c r="S37" s="21" t="s">
        <v>20</v>
      </c>
      <c r="T37" s="21" t="s">
        <v>17</v>
      </c>
      <c r="U37" s="22" t="s">
        <v>9</v>
      </c>
    </row>
    <row r="38" spans="1:21" ht="35.25" customHeight="1" x14ac:dyDescent="0.35">
      <c r="A38" s="7">
        <v>37</v>
      </c>
      <c r="B38" s="21" t="s">
        <v>9</v>
      </c>
      <c r="C38" s="21" t="s">
        <v>19</v>
      </c>
      <c r="D38" s="21" t="s">
        <v>7</v>
      </c>
      <c r="E38" s="21" t="s">
        <v>18</v>
      </c>
      <c r="F38" s="21" t="s">
        <v>51</v>
      </c>
      <c r="G38" s="21" t="s">
        <v>24</v>
      </c>
      <c r="H38" s="21" t="s">
        <v>22</v>
      </c>
      <c r="I38" s="21" t="s">
        <v>16</v>
      </c>
      <c r="J38" s="21" t="s">
        <v>20</v>
      </c>
      <c r="K38" s="21" t="s">
        <v>21</v>
      </c>
      <c r="L38" s="21" t="s">
        <v>14</v>
      </c>
      <c r="M38" s="21" t="s">
        <v>23</v>
      </c>
      <c r="N38" s="21" t="s">
        <v>10</v>
      </c>
      <c r="O38" s="21" t="s">
        <v>8</v>
      </c>
      <c r="P38" s="21" t="s">
        <v>129</v>
      </c>
      <c r="Q38" s="21" t="s">
        <v>15</v>
      </c>
      <c r="R38" s="21" t="s">
        <v>13</v>
      </c>
      <c r="S38" s="21" t="s">
        <v>17</v>
      </c>
      <c r="T38" s="21" t="s">
        <v>12</v>
      </c>
      <c r="U38" s="22" t="s">
        <v>11</v>
      </c>
    </row>
    <row r="39" spans="1:21" ht="35.25" customHeight="1" x14ac:dyDescent="0.35">
      <c r="A39" s="7">
        <v>38</v>
      </c>
      <c r="B39" s="21" t="s">
        <v>18</v>
      </c>
      <c r="C39" s="21" t="s">
        <v>20</v>
      </c>
      <c r="D39" s="21" t="s">
        <v>16</v>
      </c>
      <c r="E39" s="21" t="s">
        <v>22</v>
      </c>
      <c r="F39" s="21" t="s">
        <v>15</v>
      </c>
      <c r="G39" s="21" t="s">
        <v>23</v>
      </c>
      <c r="H39" s="21" t="s">
        <v>14</v>
      </c>
      <c r="I39" s="21" t="s">
        <v>13</v>
      </c>
      <c r="J39" s="21" t="s">
        <v>19</v>
      </c>
      <c r="K39" s="21" t="s">
        <v>11</v>
      </c>
      <c r="L39" s="21" t="s">
        <v>9</v>
      </c>
      <c r="M39" s="21" t="s">
        <v>51</v>
      </c>
      <c r="N39" s="21" t="s">
        <v>7</v>
      </c>
      <c r="O39" s="21" t="s">
        <v>129</v>
      </c>
      <c r="P39" s="21" t="s">
        <v>8</v>
      </c>
      <c r="Q39" s="21" t="s">
        <v>24</v>
      </c>
      <c r="R39" s="21" t="s">
        <v>10</v>
      </c>
      <c r="S39" s="21" t="s">
        <v>12</v>
      </c>
      <c r="T39" s="21" t="s">
        <v>21</v>
      </c>
      <c r="U39" s="22" t="s">
        <v>17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35FE-EFE3-4790-B9F9-471CB13AD26B}">
  <dimension ref="A1:AA41"/>
  <sheetViews>
    <sheetView zoomScale="85" zoomScaleNormal="85" workbookViewId="0">
      <selection activeCell="Y3" sqref="Y3"/>
    </sheetView>
  </sheetViews>
  <sheetFormatPr defaultRowHeight="15" x14ac:dyDescent="0.25"/>
  <sheetData>
    <row r="1" spans="1:27" x14ac:dyDescent="0.25">
      <c r="A1" s="19" t="s">
        <v>5</v>
      </c>
      <c r="B1" s="19" t="s">
        <v>157</v>
      </c>
      <c r="C1" s="19" t="s">
        <v>158</v>
      </c>
      <c r="D1" s="19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9" t="s">
        <v>167</v>
      </c>
      <c r="M1" s="19" t="s">
        <v>168</v>
      </c>
      <c r="N1" s="19" t="s">
        <v>169</v>
      </c>
      <c r="O1" s="19" t="s">
        <v>170</v>
      </c>
      <c r="P1" s="19" t="s">
        <v>171</v>
      </c>
      <c r="Q1" s="19" t="s">
        <v>172</v>
      </c>
      <c r="R1" s="19" t="s">
        <v>173</v>
      </c>
      <c r="S1" s="19" t="s">
        <v>174</v>
      </c>
      <c r="T1" s="19" t="s">
        <v>175</v>
      </c>
      <c r="U1" s="19" t="s">
        <v>176</v>
      </c>
      <c r="V1" s="19" t="s">
        <v>177</v>
      </c>
      <c r="W1" s="19" t="s">
        <v>178</v>
      </c>
      <c r="Y1" s="15" t="s">
        <v>181</v>
      </c>
      <c r="Z1" s="15" t="s">
        <v>182</v>
      </c>
    </row>
    <row r="2" spans="1:27" ht="30" x14ac:dyDescent="0.25">
      <c r="A2" s="16">
        <v>1</v>
      </c>
      <c r="B2" s="16" t="s">
        <v>228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3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59391</v>
      </c>
      <c r="W2" s="17">
        <v>6</v>
      </c>
      <c r="Y2" s="19"/>
      <c r="Z2" s="19"/>
    </row>
    <row r="3" spans="1:27" ht="30" x14ac:dyDescent="0.45">
      <c r="A3" s="16">
        <v>2</v>
      </c>
      <c r="B3" s="16" t="s">
        <v>415</v>
      </c>
      <c r="C3" s="16">
        <v>1</v>
      </c>
      <c r="D3" s="16">
        <v>6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3</v>
      </c>
      <c r="Q3" s="16">
        <v>3</v>
      </c>
      <c r="R3" s="16">
        <v>0</v>
      </c>
      <c r="S3" s="16">
        <v>17</v>
      </c>
      <c r="T3" s="16">
        <v>2</v>
      </c>
      <c r="U3" s="16">
        <v>-7985</v>
      </c>
      <c r="V3" s="16">
        <v>58286</v>
      </c>
      <c r="W3" s="17">
        <v>6</v>
      </c>
      <c r="X3" s="11"/>
      <c r="Y3" s="11">
        <f>G40/(D40/90)</f>
        <v>0</v>
      </c>
      <c r="Z3" s="11">
        <f>COUNTIF(D2:D39, "&gt;60")</f>
        <v>5</v>
      </c>
      <c r="AA3" s="11"/>
    </row>
    <row r="4" spans="1:27" ht="30" x14ac:dyDescent="0.25">
      <c r="A4" s="16">
        <v>3</v>
      </c>
      <c r="B4" s="16" t="s">
        <v>416</v>
      </c>
      <c r="C4" s="16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</v>
      </c>
      <c r="Q4" s="16">
        <v>0</v>
      </c>
      <c r="R4" s="16">
        <v>0</v>
      </c>
      <c r="S4" s="16">
        <v>0</v>
      </c>
      <c r="T4" s="16">
        <v>0</v>
      </c>
      <c r="U4" s="16">
        <v>-8979</v>
      </c>
      <c r="V4" s="16">
        <v>51449</v>
      </c>
      <c r="W4" s="17">
        <v>5.9</v>
      </c>
    </row>
    <row r="5" spans="1:27" ht="30" x14ac:dyDescent="0.25">
      <c r="A5" s="16">
        <v>4</v>
      </c>
      <c r="B5" s="16" t="s">
        <v>417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-7736</v>
      </c>
      <c r="V5" s="16">
        <v>46171</v>
      </c>
      <c r="W5" s="17">
        <v>5.9</v>
      </c>
    </row>
    <row r="6" spans="1:27" ht="30" x14ac:dyDescent="0.25">
      <c r="A6" s="16">
        <v>5</v>
      </c>
      <c r="B6" s="16" t="s">
        <v>418</v>
      </c>
      <c r="C6" s="16">
        <v>1</v>
      </c>
      <c r="D6" s="16">
        <v>8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3</v>
      </c>
      <c r="Q6" s="16">
        <v>0.2</v>
      </c>
      <c r="R6" s="16">
        <v>0.5</v>
      </c>
      <c r="S6" s="16">
        <v>2</v>
      </c>
      <c r="T6" s="16">
        <v>0.3</v>
      </c>
      <c r="U6" s="16">
        <v>-4978</v>
      </c>
      <c r="V6" s="16">
        <v>42141</v>
      </c>
      <c r="W6" s="17">
        <v>5.8</v>
      </c>
    </row>
    <row r="7" spans="1:27" ht="30" x14ac:dyDescent="0.25">
      <c r="A7" s="16">
        <v>6</v>
      </c>
      <c r="B7" s="16" t="s">
        <v>419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-3990</v>
      </c>
      <c r="V7" s="16">
        <v>38714</v>
      </c>
      <c r="W7" s="17">
        <v>5.8</v>
      </c>
    </row>
    <row r="8" spans="1:27" ht="30" x14ac:dyDescent="0.25">
      <c r="A8" s="16">
        <v>7</v>
      </c>
      <c r="B8" s="16" t="s">
        <v>420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-2538</v>
      </c>
      <c r="V8" s="16">
        <v>36516</v>
      </c>
      <c r="W8" s="17">
        <v>5.8</v>
      </c>
    </row>
    <row r="9" spans="1:27" ht="30" x14ac:dyDescent="0.25">
      <c r="A9" s="16">
        <v>8</v>
      </c>
      <c r="B9" s="16" t="s">
        <v>421</v>
      </c>
      <c r="C9" s="16">
        <v>1</v>
      </c>
      <c r="D9" s="16">
        <v>16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6</v>
      </c>
      <c r="Q9" s="16">
        <v>1.2</v>
      </c>
      <c r="R9" s="16">
        <v>10.3</v>
      </c>
      <c r="S9" s="16">
        <v>4</v>
      </c>
      <c r="T9" s="16">
        <v>1.6</v>
      </c>
      <c r="U9" s="16">
        <v>-1717</v>
      </c>
      <c r="V9" s="16">
        <v>35242</v>
      </c>
      <c r="W9" s="17">
        <v>5.7</v>
      </c>
    </row>
    <row r="10" spans="1:27" ht="30" x14ac:dyDescent="0.25">
      <c r="A10" s="16">
        <v>9</v>
      </c>
      <c r="B10" s="16" t="s">
        <v>248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-668</v>
      </c>
      <c r="V10" s="16">
        <v>34832</v>
      </c>
      <c r="W10" s="17">
        <v>5.7</v>
      </c>
    </row>
    <row r="11" spans="1:27" ht="30" x14ac:dyDescent="0.25">
      <c r="A11" s="16">
        <v>10</v>
      </c>
      <c r="B11" s="16" t="s">
        <v>398</v>
      </c>
      <c r="C11" s="16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3</v>
      </c>
      <c r="Q11" s="16">
        <v>0</v>
      </c>
      <c r="R11" s="16">
        <v>0</v>
      </c>
      <c r="S11" s="16">
        <v>0</v>
      </c>
      <c r="T11" s="16">
        <v>0</v>
      </c>
      <c r="U11" s="16">
        <v>-1234</v>
      </c>
      <c r="V11" s="16">
        <v>33939</v>
      </c>
      <c r="W11" s="17">
        <v>5.7</v>
      </c>
    </row>
    <row r="12" spans="1:27" ht="30" x14ac:dyDescent="0.25">
      <c r="A12" s="16">
        <v>11</v>
      </c>
      <c r="B12" s="16" t="s">
        <v>422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-662</v>
      </c>
      <c r="V12" s="16">
        <v>33536</v>
      </c>
      <c r="W12" s="17">
        <v>5.7</v>
      </c>
    </row>
    <row r="13" spans="1:27" ht="30" x14ac:dyDescent="0.25">
      <c r="A13" s="16">
        <v>12</v>
      </c>
      <c r="B13" s="16" t="s">
        <v>269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-601</v>
      </c>
      <c r="V13" s="16">
        <v>33193</v>
      </c>
      <c r="W13" s="17">
        <v>5.7</v>
      </c>
    </row>
    <row r="14" spans="1:27" ht="30" x14ac:dyDescent="0.25">
      <c r="A14" s="16">
        <v>13</v>
      </c>
      <c r="B14" s="16" t="s">
        <v>336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-473</v>
      </c>
      <c r="V14" s="16">
        <v>32896</v>
      </c>
      <c r="W14" s="17">
        <v>5.7</v>
      </c>
    </row>
    <row r="15" spans="1:27" ht="30" x14ac:dyDescent="0.25">
      <c r="A15" s="16">
        <v>14</v>
      </c>
      <c r="B15" s="16" t="s">
        <v>423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-269</v>
      </c>
      <c r="V15" s="16">
        <v>32722</v>
      </c>
      <c r="W15" s="17">
        <v>5.7</v>
      </c>
    </row>
    <row r="16" spans="1:27" ht="30" x14ac:dyDescent="0.25">
      <c r="A16" s="16">
        <v>15</v>
      </c>
      <c r="B16" s="16" t="s">
        <v>332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-436</v>
      </c>
      <c r="V16" s="16">
        <v>32378</v>
      </c>
      <c r="W16" s="17">
        <v>5.6</v>
      </c>
    </row>
    <row r="17" spans="1:23" ht="30" x14ac:dyDescent="0.25">
      <c r="A17" s="16">
        <v>16</v>
      </c>
      <c r="B17" s="16" t="s">
        <v>424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-526</v>
      </c>
      <c r="V17" s="16">
        <v>31992</v>
      </c>
      <c r="W17" s="17">
        <v>5.6</v>
      </c>
    </row>
    <row r="18" spans="1:23" ht="30" x14ac:dyDescent="0.25">
      <c r="A18" s="16">
        <v>17</v>
      </c>
      <c r="B18" s="16" t="s">
        <v>425</v>
      </c>
      <c r="C18" s="16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3</v>
      </c>
      <c r="Q18" s="16">
        <v>0.2</v>
      </c>
      <c r="R18" s="16">
        <v>0</v>
      </c>
      <c r="S18" s="16">
        <v>0</v>
      </c>
      <c r="T18" s="16">
        <v>0</v>
      </c>
      <c r="U18" s="16">
        <v>-84</v>
      </c>
      <c r="V18" s="16">
        <v>32042</v>
      </c>
      <c r="W18" s="17">
        <v>5.6</v>
      </c>
    </row>
    <row r="19" spans="1:23" ht="30" x14ac:dyDescent="0.25">
      <c r="A19" s="16">
        <v>18</v>
      </c>
      <c r="B19" s="16" t="s">
        <v>426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338</v>
      </c>
      <c r="V19" s="16">
        <v>33057</v>
      </c>
      <c r="W19" s="17">
        <v>5.6</v>
      </c>
    </row>
    <row r="20" spans="1:23" ht="30" x14ac:dyDescent="0.25">
      <c r="A20" s="16">
        <v>21</v>
      </c>
      <c r="B20" s="16" t="s">
        <v>334</v>
      </c>
      <c r="C20" s="16">
        <v>1</v>
      </c>
      <c r="D20" s="16">
        <v>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2</v>
      </c>
      <c r="Q20" s="16">
        <v>0.2</v>
      </c>
      <c r="R20" s="16">
        <v>0.1</v>
      </c>
      <c r="S20" s="16">
        <v>0</v>
      </c>
      <c r="T20" s="16">
        <v>0</v>
      </c>
      <c r="U20" s="16">
        <v>-476</v>
      </c>
      <c r="V20" s="16">
        <v>29981</v>
      </c>
      <c r="W20" s="17">
        <v>5.6</v>
      </c>
    </row>
    <row r="21" spans="1:23" ht="30" x14ac:dyDescent="0.25">
      <c r="A21" s="16">
        <v>22</v>
      </c>
      <c r="B21" s="16" t="s">
        <v>427</v>
      </c>
      <c r="C21" s="16">
        <v>1</v>
      </c>
      <c r="D21" s="16">
        <v>10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5</v>
      </c>
      <c r="Q21" s="16">
        <v>6</v>
      </c>
      <c r="R21" s="16">
        <v>0.3</v>
      </c>
      <c r="S21" s="16">
        <v>17</v>
      </c>
      <c r="T21" s="16">
        <v>2.2999999999999998</v>
      </c>
      <c r="U21" s="16">
        <v>548</v>
      </c>
      <c r="V21" s="16">
        <v>30930</v>
      </c>
      <c r="W21" s="17">
        <v>5.6</v>
      </c>
    </row>
    <row r="22" spans="1:23" ht="30" x14ac:dyDescent="0.25">
      <c r="A22" s="16">
        <v>23</v>
      </c>
      <c r="B22" s="16" t="s">
        <v>230</v>
      </c>
      <c r="C22" s="16">
        <v>2</v>
      </c>
      <c r="D22" s="16">
        <v>74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16">
        <v>0</v>
      </c>
      <c r="R22" s="16">
        <v>1.1000000000000001</v>
      </c>
      <c r="S22" s="16">
        <v>5</v>
      </c>
      <c r="T22" s="16">
        <v>0.5</v>
      </c>
      <c r="U22" s="16">
        <v>360</v>
      </c>
      <c r="V22" s="16">
        <v>31300</v>
      </c>
      <c r="W22" s="17">
        <v>5.6</v>
      </c>
    </row>
    <row r="23" spans="1:23" ht="30" x14ac:dyDescent="0.25">
      <c r="A23" s="16">
        <v>24</v>
      </c>
      <c r="B23" s="16" t="s">
        <v>351</v>
      </c>
      <c r="C23" s="16">
        <v>1</v>
      </c>
      <c r="D23" s="16">
        <v>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1</v>
      </c>
      <c r="S23" s="16">
        <v>10</v>
      </c>
      <c r="T23" s="16">
        <v>0.8</v>
      </c>
      <c r="U23" s="16">
        <v>1204</v>
      </c>
      <c r="V23" s="16">
        <v>32833</v>
      </c>
      <c r="W23" s="17">
        <v>5.6</v>
      </c>
    </row>
    <row r="24" spans="1:23" ht="15" customHeight="1" x14ac:dyDescent="0.25">
      <c r="A24" s="16">
        <v>25</v>
      </c>
      <c r="B24" s="16" t="s">
        <v>428</v>
      </c>
      <c r="C24" s="16">
        <v>1</v>
      </c>
      <c r="D24" s="16">
        <v>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2</v>
      </c>
      <c r="Q24" s="16">
        <v>0.2</v>
      </c>
      <c r="R24" s="16">
        <v>1.3</v>
      </c>
      <c r="S24" s="16">
        <v>0</v>
      </c>
      <c r="T24" s="16">
        <v>0.2</v>
      </c>
      <c r="U24" s="16">
        <v>514</v>
      </c>
      <c r="V24" s="16">
        <v>33366</v>
      </c>
      <c r="W24" s="17">
        <v>5.6</v>
      </c>
    </row>
    <row r="25" spans="1:23" ht="30" x14ac:dyDescent="0.25">
      <c r="A25" s="16">
        <v>26</v>
      </c>
      <c r="B25" s="16" t="s">
        <v>331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772</v>
      </c>
      <c r="V25" s="16">
        <v>34586</v>
      </c>
      <c r="W25" s="17">
        <v>5.6</v>
      </c>
    </row>
    <row r="26" spans="1:23" ht="30" x14ac:dyDescent="0.25">
      <c r="A26" s="16">
        <v>26</v>
      </c>
      <c r="B26" s="16" t="s">
        <v>229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772</v>
      </c>
      <c r="V26" s="16">
        <v>34586</v>
      </c>
      <c r="W26" s="17">
        <v>5.6</v>
      </c>
    </row>
    <row r="27" spans="1:23" ht="30" x14ac:dyDescent="0.25">
      <c r="A27" s="16">
        <v>27</v>
      </c>
      <c r="B27" s="16" t="s">
        <v>376</v>
      </c>
      <c r="C27" s="16">
        <v>2</v>
      </c>
      <c r="D27" s="16">
        <v>90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2.7</v>
      </c>
      <c r="S27" s="16">
        <v>67</v>
      </c>
      <c r="T27" s="16">
        <v>6.9</v>
      </c>
      <c r="U27" s="16">
        <v>-313</v>
      </c>
      <c r="V27" s="16">
        <v>33902</v>
      </c>
      <c r="W27" s="17">
        <v>5.6</v>
      </c>
    </row>
    <row r="28" spans="1:23" ht="30" x14ac:dyDescent="0.25">
      <c r="A28" s="16">
        <v>28</v>
      </c>
      <c r="B28" s="16" t="s">
        <v>292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609</v>
      </c>
      <c r="V28" s="16">
        <v>34830</v>
      </c>
      <c r="W28" s="17">
        <v>5.6</v>
      </c>
    </row>
    <row r="29" spans="1:23" ht="30" x14ac:dyDescent="0.25">
      <c r="A29" s="16">
        <v>28</v>
      </c>
      <c r="B29" s="16" t="s">
        <v>429</v>
      </c>
      <c r="C29" s="16">
        <v>1</v>
      </c>
      <c r="D29" s="16">
        <v>19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-2</v>
      </c>
      <c r="Q29" s="16">
        <v>0</v>
      </c>
      <c r="R29" s="16">
        <v>0.2</v>
      </c>
      <c r="S29" s="16">
        <v>9</v>
      </c>
      <c r="T29" s="16">
        <v>0.6</v>
      </c>
      <c r="U29" s="16">
        <v>609</v>
      </c>
      <c r="V29" s="16">
        <v>34830</v>
      </c>
      <c r="W29" s="17">
        <v>5.6</v>
      </c>
    </row>
    <row r="30" spans="1:23" ht="30" x14ac:dyDescent="0.25">
      <c r="A30" s="16">
        <v>29</v>
      </c>
      <c r="B30" s="16" t="s">
        <v>293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0.2</v>
      </c>
      <c r="R30" s="16">
        <v>0.1</v>
      </c>
      <c r="S30" s="16">
        <v>4</v>
      </c>
      <c r="T30" s="16">
        <v>0.4</v>
      </c>
      <c r="U30" s="16">
        <v>-138</v>
      </c>
      <c r="V30" s="16">
        <v>34700</v>
      </c>
      <c r="W30" s="17">
        <v>5.6</v>
      </c>
    </row>
    <row r="31" spans="1:23" ht="30" x14ac:dyDescent="0.25">
      <c r="A31" s="16">
        <v>30</v>
      </c>
      <c r="B31" s="16" t="s">
        <v>397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</v>
      </c>
      <c r="Q31" s="16">
        <v>2.4</v>
      </c>
      <c r="R31" s="16">
        <v>10.5</v>
      </c>
      <c r="S31" s="16">
        <v>0</v>
      </c>
      <c r="T31" s="16">
        <v>1.3</v>
      </c>
      <c r="U31" s="16">
        <v>4566</v>
      </c>
      <c r="V31" s="16">
        <v>41657</v>
      </c>
      <c r="W31" s="17">
        <v>5.6</v>
      </c>
    </row>
    <row r="32" spans="1:23" ht="30" x14ac:dyDescent="0.25">
      <c r="A32" s="16">
        <v>31</v>
      </c>
      <c r="B32" s="16" t="s">
        <v>375</v>
      </c>
      <c r="C32" s="16">
        <v>5</v>
      </c>
      <c r="D32" s="16">
        <v>90</v>
      </c>
      <c r="E32" s="16">
        <v>0</v>
      </c>
      <c r="F32" s="16">
        <v>1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3</v>
      </c>
      <c r="Q32" s="16">
        <v>7.4</v>
      </c>
      <c r="R32" s="16">
        <v>4.5</v>
      </c>
      <c r="S32" s="16">
        <v>44</v>
      </c>
      <c r="T32" s="16">
        <v>5.6</v>
      </c>
      <c r="U32" s="16">
        <v>-1049</v>
      </c>
      <c r="V32" s="16">
        <v>38452</v>
      </c>
      <c r="W32" s="17">
        <v>5.6</v>
      </c>
    </row>
    <row r="33" spans="1:23" ht="30" x14ac:dyDescent="0.25">
      <c r="A33" s="16">
        <v>32</v>
      </c>
      <c r="B33" s="16" t="s">
        <v>352</v>
      </c>
      <c r="C33" s="16">
        <v>2</v>
      </c>
      <c r="D33" s="16">
        <v>90</v>
      </c>
      <c r="E33" s="16">
        <v>0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-1</v>
      </c>
      <c r="Q33" s="16">
        <v>0</v>
      </c>
      <c r="R33" s="16">
        <v>0.9</v>
      </c>
      <c r="S33" s="16">
        <v>23</v>
      </c>
      <c r="T33" s="16">
        <v>2.2999999999999998</v>
      </c>
      <c r="U33" s="16">
        <v>4476</v>
      </c>
      <c r="V33" s="16">
        <v>43341</v>
      </c>
      <c r="W33" s="17">
        <v>5.6</v>
      </c>
    </row>
    <row r="34" spans="1:23" ht="30" x14ac:dyDescent="0.25">
      <c r="A34" s="16">
        <v>34</v>
      </c>
      <c r="B34" s="16" t="s">
        <v>377</v>
      </c>
      <c r="C34" s="16">
        <v>2</v>
      </c>
      <c r="D34" s="16">
        <v>66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5</v>
      </c>
      <c r="Q34" s="16">
        <v>0</v>
      </c>
      <c r="R34" s="16">
        <v>2.1</v>
      </c>
      <c r="S34" s="16">
        <v>48</v>
      </c>
      <c r="T34" s="16">
        <v>4.9000000000000004</v>
      </c>
      <c r="U34" s="16">
        <v>2235</v>
      </c>
      <c r="V34" s="16">
        <v>43288</v>
      </c>
      <c r="W34" s="17">
        <v>5.6</v>
      </c>
    </row>
    <row r="35" spans="1:23" ht="30" x14ac:dyDescent="0.25">
      <c r="A35" s="16">
        <v>35</v>
      </c>
      <c r="B35" s="16" t="s">
        <v>430</v>
      </c>
      <c r="C35" s="16">
        <v>1</v>
      </c>
      <c r="D35" s="16">
        <v>45</v>
      </c>
      <c r="E35" s="16">
        <v>0</v>
      </c>
      <c r="F35" s="16">
        <v>0</v>
      </c>
      <c r="G35" s="16">
        <v>0</v>
      </c>
      <c r="H35" s="16">
        <v>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11.6</v>
      </c>
      <c r="S35" s="16">
        <v>4</v>
      </c>
      <c r="T35" s="16">
        <v>1.5</v>
      </c>
      <c r="U35" s="16">
        <v>319</v>
      </c>
      <c r="V35" s="16">
        <v>43535</v>
      </c>
      <c r="W35" s="17">
        <v>5.6</v>
      </c>
    </row>
    <row r="36" spans="1:23" ht="30" x14ac:dyDescent="0.25">
      <c r="A36" s="16">
        <v>36</v>
      </c>
      <c r="B36" s="16" t="s">
        <v>268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-792</v>
      </c>
      <c r="V36" s="16">
        <v>42659</v>
      </c>
      <c r="W36" s="17">
        <v>5.6</v>
      </c>
    </row>
    <row r="37" spans="1:23" ht="15" customHeight="1" x14ac:dyDescent="0.25">
      <c r="A37" s="16">
        <v>36</v>
      </c>
      <c r="B37" s="16" t="s">
        <v>431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-792</v>
      </c>
      <c r="V37" s="16">
        <v>42659</v>
      </c>
      <c r="W37" s="17">
        <v>5.6</v>
      </c>
    </row>
    <row r="38" spans="1:23" ht="15" customHeight="1" x14ac:dyDescent="0.25">
      <c r="A38" s="16">
        <v>37</v>
      </c>
      <c r="B38" s="16" t="s">
        <v>329</v>
      </c>
      <c r="C38" s="16">
        <v>1</v>
      </c>
      <c r="D38" s="16">
        <v>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1.1000000000000001</v>
      </c>
      <c r="S38" s="16">
        <v>8</v>
      </c>
      <c r="T38" s="16">
        <v>0.8</v>
      </c>
      <c r="U38" s="16">
        <v>-1303</v>
      </c>
      <c r="V38" s="16">
        <v>41281</v>
      </c>
      <c r="W38" s="17">
        <v>5.6</v>
      </c>
    </row>
    <row r="39" spans="1:23" ht="15" customHeight="1" x14ac:dyDescent="0.25">
      <c r="A39" s="16">
        <v>38</v>
      </c>
      <c r="B39" s="16" t="s">
        <v>330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-967</v>
      </c>
      <c r="V39" s="16">
        <v>40404</v>
      </c>
      <c r="W39" s="17">
        <v>5.6</v>
      </c>
    </row>
    <row r="40" spans="1:23" ht="15" customHeight="1" x14ac:dyDescent="0.25">
      <c r="A40" s="25" t="s">
        <v>179</v>
      </c>
      <c r="B40" s="25"/>
      <c r="C40" s="16">
        <v>30</v>
      </c>
      <c r="D40" s="16">
        <v>562</v>
      </c>
      <c r="E40" s="16">
        <v>0</v>
      </c>
      <c r="F40" s="16">
        <v>1</v>
      </c>
      <c r="G40" s="16">
        <v>0</v>
      </c>
      <c r="H40" s="16">
        <v>7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43</v>
      </c>
      <c r="Q40" s="16">
        <v>21</v>
      </c>
      <c r="R40" s="16">
        <v>48.3</v>
      </c>
      <c r="S40" s="16">
        <v>262</v>
      </c>
      <c r="T40" s="16">
        <v>32</v>
      </c>
      <c r="U40" s="16"/>
      <c r="V40" s="16"/>
      <c r="W40" s="16"/>
    </row>
    <row r="41" spans="1:23" ht="15" customHeight="1" x14ac:dyDescent="0.25">
      <c r="A41" s="25"/>
      <c r="B41" s="2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</sheetData>
  <mergeCells count="2">
    <mergeCell ref="A41:B41"/>
    <mergeCell ref="A40:B40"/>
  </mergeCell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54-6E25-4524-883A-21ADC0A8D329}">
  <sheetPr codeName="Sheet4"/>
  <dimension ref="A1:O13"/>
  <sheetViews>
    <sheetView workbookViewId="0">
      <selection activeCell="F7" sqref="F7"/>
    </sheetView>
  </sheetViews>
  <sheetFormatPr defaultRowHeight="15" x14ac:dyDescent="0.25"/>
  <cols>
    <col min="1" max="7" width="18.85546875" customWidth="1"/>
  </cols>
  <sheetData>
    <row r="1" spans="1:15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34</v>
      </c>
      <c r="F1" t="s">
        <v>33</v>
      </c>
      <c r="G1" t="s">
        <v>36</v>
      </c>
      <c r="I1" s="9" t="s">
        <v>49</v>
      </c>
      <c r="J1" s="9">
        <f t="shared" ref="J1:O1" si="0">AVERAGEA(B2:B13)</f>
        <v>76.5</v>
      </c>
      <c r="K1" s="9">
        <f t="shared" si="0"/>
        <v>37.5</v>
      </c>
      <c r="L1" s="9">
        <f t="shared" si="0"/>
        <v>43.25</v>
      </c>
      <c r="M1" s="9">
        <f t="shared" si="0"/>
        <v>64.75</v>
      </c>
      <c r="N1" s="9">
        <f t="shared" si="0"/>
        <v>0.4926194497502176</v>
      </c>
      <c r="O1" s="9">
        <f t="shared" si="0"/>
        <v>1.5536835989415341</v>
      </c>
    </row>
    <row r="2" spans="1:15" x14ac:dyDescent="0.25">
      <c r="A2" t="s">
        <v>37</v>
      </c>
      <c r="B2">
        <v>75</v>
      </c>
      <c r="C2">
        <v>23</v>
      </c>
      <c r="D2">
        <v>36</v>
      </c>
      <c r="E2">
        <v>84</v>
      </c>
      <c r="F2">
        <f>C2/B2</f>
        <v>0.30666666666666664</v>
      </c>
      <c r="G2">
        <f>E2/D2</f>
        <v>2.3333333333333335</v>
      </c>
    </row>
    <row r="3" spans="1:15" x14ac:dyDescent="0.25">
      <c r="A3" t="s">
        <v>38</v>
      </c>
      <c r="B3">
        <v>63</v>
      </c>
      <c r="C3">
        <v>34</v>
      </c>
      <c r="D3">
        <v>30</v>
      </c>
      <c r="E3">
        <v>77</v>
      </c>
      <c r="F3">
        <f t="shared" ref="F3:F13" si="1">C3/B3</f>
        <v>0.53968253968253965</v>
      </c>
      <c r="G3">
        <f t="shared" ref="G3:G13" si="2">E3/D3</f>
        <v>2.5666666666666669</v>
      </c>
    </row>
    <row r="4" spans="1:15" x14ac:dyDescent="0.25">
      <c r="A4" t="s">
        <v>39</v>
      </c>
      <c r="B4">
        <v>79</v>
      </c>
      <c r="C4">
        <v>48</v>
      </c>
      <c r="D4">
        <v>42</v>
      </c>
      <c r="E4">
        <v>56</v>
      </c>
      <c r="F4">
        <f t="shared" si="1"/>
        <v>0.60759493670886078</v>
      </c>
      <c r="G4">
        <f t="shared" si="2"/>
        <v>1.3333333333333333</v>
      </c>
    </row>
    <row r="5" spans="1:15" x14ac:dyDescent="0.25">
      <c r="A5" t="s">
        <v>40</v>
      </c>
      <c r="B5">
        <v>64</v>
      </c>
      <c r="C5">
        <v>27</v>
      </c>
      <c r="D5">
        <v>48</v>
      </c>
      <c r="E5">
        <v>53</v>
      </c>
      <c r="F5">
        <f t="shared" si="1"/>
        <v>0.421875</v>
      </c>
      <c r="G5">
        <f t="shared" si="2"/>
        <v>1.1041666666666667</v>
      </c>
    </row>
    <row r="6" spans="1:15" x14ac:dyDescent="0.25">
      <c r="A6" t="s">
        <v>41</v>
      </c>
      <c r="B6">
        <v>77</v>
      </c>
      <c r="C6">
        <v>35</v>
      </c>
      <c r="D6">
        <v>45</v>
      </c>
      <c r="E6">
        <v>76</v>
      </c>
      <c r="F6">
        <f t="shared" si="1"/>
        <v>0.45454545454545453</v>
      </c>
      <c r="G6">
        <f t="shared" si="2"/>
        <v>1.6888888888888889</v>
      </c>
    </row>
    <row r="7" spans="1:15" x14ac:dyDescent="0.25">
      <c r="A7" t="s">
        <v>42</v>
      </c>
      <c r="B7">
        <v>77</v>
      </c>
      <c r="C7">
        <v>62</v>
      </c>
      <c r="D7">
        <v>35</v>
      </c>
      <c r="E7">
        <v>54</v>
      </c>
      <c r="F7">
        <f t="shared" si="1"/>
        <v>0.80519480519480524</v>
      </c>
      <c r="G7">
        <f t="shared" si="2"/>
        <v>1.5428571428571429</v>
      </c>
    </row>
    <row r="8" spans="1:15" x14ac:dyDescent="0.25">
      <c r="A8" t="s">
        <v>43</v>
      </c>
      <c r="B8">
        <v>82</v>
      </c>
      <c r="C8">
        <v>41</v>
      </c>
      <c r="D8">
        <v>61</v>
      </c>
      <c r="E8">
        <v>67</v>
      </c>
      <c r="F8">
        <f t="shared" si="1"/>
        <v>0.5</v>
      </c>
      <c r="G8">
        <f t="shared" si="2"/>
        <v>1.098360655737705</v>
      </c>
    </row>
    <row r="9" spans="1:15" x14ac:dyDescent="0.25">
      <c r="A9" t="s">
        <v>44</v>
      </c>
      <c r="B9">
        <v>93</v>
      </c>
      <c r="C9">
        <v>26</v>
      </c>
      <c r="D9">
        <v>57</v>
      </c>
      <c r="E9">
        <v>75</v>
      </c>
      <c r="F9">
        <f t="shared" si="1"/>
        <v>0.27956989247311825</v>
      </c>
      <c r="G9">
        <f t="shared" si="2"/>
        <v>1.3157894736842106</v>
      </c>
    </row>
    <row r="10" spans="1:15" x14ac:dyDescent="0.25">
      <c r="A10" t="s">
        <v>45</v>
      </c>
      <c r="B10">
        <v>78</v>
      </c>
      <c r="C10">
        <v>39</v>
      </c>
      <c r="D10">
        <v>41</v>
      </c>
      <c r="E10">
        <v>39</v>
      </c>
      <c r="F10">
        <f t="shared" si="1"/>
        <v>0.5</v>
      </c>
      <c r="G10">
        <f t="shared" si="2"/>
        <v>0.95121951219512191</v>
      </c>
    </row>
    <row r="11" spans="1:15" x14ac:dyDescent="0.25">
      <c r="A11" t="s">
        <v>46</v>
      </c>
      <c r="B11">
        <v>69</v>
      </c>
      <c r="C11">
        <v>34</v>
      </c>
      <c r="D11">
        <v>39</v>
      </c>
      <c r="E11">
        <v>69</v>
      </c>
      <c r="F11">
        <f t="shared" si="1"/>
        <v>0.49275362318840582</v>
      </c>
      <c r="G11">
        <f t="shared" si="2"/>
        <v>1.7692307692307692</v>
      </c>
    </row>
    <row r="12" spans="1:15" x14ac:dyDescent="0.25">
      <c r="A12" t="s">
        <v>47</v>
      </c>
      <c r="B12">
        <v>79</v>
      </c>
      <c r="C12">
        <v>34</v>
      </c>
      <c r="D12">
        <v>46</v>
      </c>
      <c r="E12">
        <v>81</v>
      </c>
      <c r="F12">
        <f t="shared" si="1"/>
        <v>0.43037974683544306</v>
      </c>
      <c r="G12">
        <f t="shared" si="2"/>
        <v>1.7608695652173914</v>
      </c>
    </row>
    <row r="13" spans="1:15" x14ac:dyDescent="0.25">
      <c r="A13" t="s">
        <v>48</v>
      </c>
      <c r="B13">
        <v>82</v>
      </c>
      <c r="C13">
        <v>47</v>
      </c>
      <c r="D13">
        <v>39</v>
      </c>
      <c r="E13">
        <v>46</v>
      </c>
      <c r="F13">
        <f t="shared" si="1"/>
        <v>0.57317073170731703</v>
      </c>
      <c r="G13">
        <f t="shared" si="2"/>
        <v>1.1794871794871795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14E-AC97-4160-8436-CF0680EDA0AB}">
  <dimension ref="A1:Q20"/>
  <sheetViews>
    <sheetView workbookViewId="0">
      <selection activeCell="O16" sqref="O16"/>
    </sheetView>
  </sheetViews>
  <sheetFormatPr defaultRowHeight="15" x14ac:dyDescent="0.25"/>
  <cols>
    <col min="1" max="1" width="1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93</v>
      </c>
      <c r="B2" s="11" t="s">
        <v>64</v>
      </c>
      <c r="C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4.0458454249333728</v>
      </c>
      <c r="D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1</v>
      </c>
      <c r="E2" s="12">
        <v>7.0000000000000007E-2</v>
      </c>
      <c r="F2" s="12">
        <v>0.08</v>
      </c>
      <c r="G2" s="12">
        <f>13/(3377/90)</f>
        <v>0.34646135623334318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5</v>
      </c>
      <c r="P2" s="12">
        <f>AVL_27[[#This Row],[xPoints Av.]]*AVL_27[[#This Row],[Regularity]]</f>
        <v>4.0458454249333728</v>
      </c>
      <c r="Q2" s="11" t="s">
        <v>19</v>
      </c>
    </row>
    <row r="3" spans="1:17" ht="24" x14ac:dyDescent="0.45">
      <c r="A3" s="11" t="s">
        <v>94</v>
      </c>
      <c r="B3" s="11" t="s">
        <v>64</v>
      </c>
      <c r="C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3.6021580928481809</v>
      </c>
      <c r="D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0.92105263157894735</v>
      </c>
      <c r="E3" s="12">
        <v>0.04</v>
      </c>
      <c r="F3" s="12">
        <v>0.04</v>
      </c>
      <c r="G3" s="12">
        <f>11/(3188/90)</f>
        <v>0.31053952321204514</v>
      </c>
      <c r="H3" s="11">
        <v>35</v>
      </c>
      <c r="I3" s="11">
        <v>38</v>
      </c>
      <c r="J3" s="11"/>
      <c r="K3" s="11"/>
      <c r="L3" s="11"/>
      <c r="M3" s="11"/>
      <c r="N3" s="11">
        <v>1</v>
      </c>
      <c r="O3" s="11">
        <v>4.5</v>
      </c>
      <c r="P3" s="12">
        <f>AVL_27[[#This Row],[xPoints Av.]]*AVL_27[[#This Row],[Regularity]]</f>
        <v>3.3177771907812192</v>
      </c>
      <c r="Q3" s="11" t="s">
        <v>19</v>
      </c>
    </row>
    <row r="4" spans="1:17" ht="24" x14ac:dyDescent="0.45">
      <c r="A4" s="11" t="s">
        <v>95</v>
      </c>
      <c r="B4" s="11" t="s">
        <v>64</v>
      </c>
      <c r="C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3.662786885245902</v>
      </c>
      <c r="D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</v>
      </c>
      <c r="E4" s="12">
        <v>0.04</v>
      </c>
      <c r="F4" s="12">
        <v>0.13</v>
      </c>
      <c r="G4" s="12">
        <f>7/(2440/90)</f>
        <v>0.25819672131147542</v>
      </c>
      <c r="H4" s="11">
        <v>28</v>
      </c>
      <c r="I4" s="11">
        <v>35</v>
      </c>
      <c r="J4" s="11"/>
      <c r="K4" s="11"/>
      <c r="L4" s="11"/>
      <c r="M4" s="11"/>
      <c r="N4" s="11">
        <v>1</v>
      </c>
      <c r="O4" s="11">
        <v>5</v>
      </c>
      <c r="P4" s="12">
        <f>AVL_27[[#This Row],[xPoints Av.]]*AVL_27[[#This Row],[Regularity]]</f>
        <v>2.9302295081967218</v>
      </c>
      <c r="Q4" s="11" t="s">
        <v>19</v>
      </c>
    </row>
    <row r="5" spans="1:17" ht="24" x14ac:dyDescent="0.45">
      <c r="A5" s="11" t="s">
        <v>96</v>
      </c>
      <c r="B5" s="11" t="s">
        <v>64</v>
      </c>
      <c r="C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3.4326968106580544</v>
      </c>
      <c r="D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0.72222222222222221</v>
      </c>
      <c r="E5" s="12">
        <v>0.04</v>
      </c>
      <c r="F5" s="12">
        <v>0.01</v>
      </c>
      <c r="G5" s="12">
        <f>8/(2477/90)</f>
        <v>0.29067420266451355</v>
      </c>
      <c r="H5" s="11">
        <v>26</v>
      </c>
      <c r="I5" s="11">
        <v>36</v>
      </c>
      <c r="J5" s="11"/>
      <c r="K5" s="11"/>
      <c r="L5" s="11"/>
      <c r="M5" s="11"/>
      <c r="N5" s="11">
        <v>1</v>
      </c>
      <c r="O5" s="11">
        <v>4.5</v>
      </c>
      <c r="P5" s="12">
        <f>AVL_27[[#This Row],[xPoints Av.]]*AVL_27[[#This Row],[Regularity]]</f>
        <v>2.4791699188085947</v>
      </c>
      <c r="Q5" s="11" t="s">
        <v>19</v>
      </c>
    </row>
    <row r="6" spans="1:17" ht="24" x14ac:dyDescent="0.45">
      <c r="A6" s="11" t="s">
        <v>97</v>
      </c>
      <c r="B6" s="11" t="s">
        <v>64</v>
      </c>
      <c r="C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3.5269367909238252</v>
      </c>
      <c r="D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0.31578947368421051</v>
      </c>
      <c r="E6" s="12">
        <v>0.03</v>
      </c>
      <c r="F6" s="12">
        <v>0.06</v>
      </c>
      <c r="G6" s="12">
        <f>4/(1234/90)</f>
        <v>0.29173419773095627</v>
      </c>
      <c r="H6" s="11">
        <v>12</v>
      </c>
      <c r="I6" s="11">
        <v>38</v>
      </c>
      <c r="J6" s="11"/>
      <c r="K6" s="11"/>
      <c r="L6" s="11"/>
      <c r="M6" s="11"/>
      <c r="N6" s="11">
        <v>1</v>
      </c>
      <c r="O6" s="11">
        <v>4</v>
      </c>
      <c r="P6" s="12">
        <f>AVL_27[[#This Row],[xPoints Av.]]*AVL_27[[#This Row],[Regularity]]</f>
        <v>1.1137695129233132</v>
      </c>
      <c r="Q6" s="11" t="s">
        <v>19</v>
      </c>
    </row>
    <row r="7" spans="1:17" ht="24" x14ac:dyDescent="0.45">
      <c r="A7" s="11" t="s">
        <v>98</v>
      </c>
      <c r="B7" s="11" t="s">
        <v>64</v>
      </c>
      <c r="C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3.5914414414414417</v>
      </c>
      <c r="D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0.28947368421052633</v>
      </c>
      <c r="E7" s="12">
        <v>0.02</v>
      </c>
      <c r="F7" s="12">
        <v>0.01</v>
      </c>
      <c r="G7" s="12">
        <f>4/(999/90)</f>
        <v>0.3603603603603604</v>
      </c>
      <c r="H7" s="11">
        <v>11</v>
      </c>
      <c r="I7" s="11">
        <v>38</v>
      </c>
      <c r="J7" s="11"/>
      <c r="K7" s="11"/>
      <c r="L7" s="11"/>
      <c r="M7" s="11"/>
      <c r="N7" s="11">
        <v>1</v>
      </c>
      <c r="O7" s="11">
        <v>4.5</v>
      </c>
      <c r="P7" s="12">
        <f>AVL_27[[#This Row],[xPoints Av.]]*AVL_27[[#This Row],[Regularity]]</f>
        <v>1.0396277856804175</v>
      </c>
      <c r="Q7" s="11" t="s">
        <v>19</v>
      </c>
    </row>
    <row r="8" spans="1:17" ht="24" x14ac:dyDescent="0.45">
      <c r="A8" s="11" t="s">
        <v>99</v>
      </c>
      <c r="B8" s="11" t="s">
        <v>64</v>
      </c>
      <c r="C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2.9668010075566751</v>
      </c>
      <c r="D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0.10526315789473684</v>
      </c>
      <c r="E8" s="12">
        <v>0.01</v>
      </c>
      <c r="F8" s="12">
        <v>0</v>
      </c>
      <c r="G8" s="12">
        <f>1/(397/90)</f>
        <v>0.22670025188916876</v>
      </c>
      <c r="H8" s="11">
        <v>4</v>
      </c>
      <c r="I8" s="11">
        <v>38</v>
      </c>
      <c r="J8" s="11"/>
      <c r="K8" s="11"/>
      <c r="L8" s="11"/>
      <c r="M8" s="11"/>
      <c r="N8" s="11">
        <v>1</v>
      </c>
      <c r="O8" s="11">
        <v>4.5</v>
      </c>
      <c r="P8" s="12">
        <f>AVL_27[[#This Row],[xPoints Av.]]*AVL_27[[#This Row],[Regularity]]</f>
        <v>0.31229484290070264</v>
      </c>
      <c r="Q8" s="11" t="s">
        <v>19</v>
      </c>
    </row>
    <row r="9" spans="1:17" ht="24" x14ac:dyDescent="0.45">
      <c r="A9" s="11" t="s">
        <v>109</v>
      </c>
      <c r="B9" s="11" t="s">
        <v>84</v>
      </c>
      <c r="C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3.67</v>
      </c>
      <c r="D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0.86842105263157898</v>
      </c>
      <c r="E9" s="12">
        <v>0.35</v>
      </c>
      <c r="F9" s="12">
        <v>0.09</v>
      </c>
      <c r="G9" s="12">
        <f>10/(2950/90)</f>
        <v>0.30508474576271188</v>
      </c>
      <c r="H9" s="11">
        <v>33</v>
      </c>
      <c r="I9" s="11">
        <v>38</v>
      </c>
      <c r="J9" s="11"/>
      <c r="K9" s="11"/>
      <c r="L9" s="11"/>
      <c r="M9" s="11"/>
      <c r="N9" s="11">
        <v>1</v>
      </c>
      <c r="O9" s="11">
        <v>7.5</v>
      </c>
      <c r="P9" s="12">
        <f>AVL_27[[#This Row],[xPoints Av.]]*AVL_27[[#This Row],[Regularity]]</f>
        <v>3.1871052631578949</v>
      </c>
      <c r="Q9" s="11" t="s">
        <v>19</v>
      </c>
    </row>
    <row r="10" spans="1:17" ht="24" x14ac:dyDescent="0.45">
      <c r="A10" s="11" t="s">
        <v>110</v>
      </c>
      <c r="B10" s="11" t="s">
        <v>84</v>
      </c>
      <c r="C1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3.49</v>
      </c>
      <c r="D1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0.57894736842105265</v>
      </c>
      <c r="E10" s="12">
        <v>0.32</v>
      </c>
      <c r="F10" s="12">
        <v>7.0000000000000007E-2</v>
      </c>
      <c r="G10" s="12">
        <f>10/(1891/90)</f>
        <v>0.47593865679534636</v>
      </c>
      <c r="H10" s="11">
        <v>22</v>
      </c>
      <c r="I10" s="11">
        <v>38</v>
      </c>
      <c r="J10" s="11"/>
      <c r="K10" s="11"/>
      <c r="L10" s="11"/>
      <c r="M10" s="11"/>
      <c r="N10" s="11">
        <v>1</v>
      </c>
      <c r="O10" s="11">
        <v>7</v>
      </c>
      <c r="P10" s="12">
        <f>AVL_27[[#This Row],[xPoints Av.]]*AVL_27[[#This Row],[Regularity]]</f>
        <v>2.0205263157894739</v>
      </c>
      <c r="Q10" s="11" t="s">
        <v>19</v>
      </c>
    </row>
    <row r="11" spans="1:17" ht="24" x14ac:dyDescent="0.45">
      <c r="A11" s="11" t="s">
        <v>92</v>
      </c>
      <c r="B11" s="11" t="s">
        <v>62</v>
      </c>
      <c r="C11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3.2222222222222223</v>
      </c>
      <c r="D11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0.97297297297297303</v>
      </c>
      <c r="E11" s="12">
        <v>0</v>
      </c>
      <c r="F11" s="12">
        <v>0</v>
      </c>
      <c r="G11" s="12">
        <f>11/(3240/90)</f>
        <v>0.30555555555555558</v>
      </c>
      <c r="H11" s="11">
        <v>36</v>
      </c>
      <c r="I11" s="11">
        <v>37</v>
      </c>
      <c r="J11" s="11"/>
      <c r="K11" s="11"/>
      <c r="L11" s="11"/>
      <c r="M11" s="11"/>
      <c r="N11" s="11">
        <v>1</v>
      </c>
      <c r="O11" s="11">
        <v>5</v>
      </c>
      <c r="P11" s="12">
        <f>AVL_27[[#This Row],[xPoints Av.]]*AVL_27[[#This Row],[Regularity]]</f>
        <v>3.1351351351351355</v>
      </c>
      <c r="Q11" s="11" t="s">
        <v>19</v>
      </c>
    </row>
    <row r="12" spans="1:17" ht="24" x14ac:dyDescent="0.45">
      <c r="A12" s="11" t="s">
        <v>104</v>
      </c>
      <c r="B12" s="11" t="s">
        <v>75</v>
      </c>
      <c r="C1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4.1447550866616432</v>
      </c>
      <c r="D1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0.84210526315789469</v>
      </c>
      <c r="E12" s="12">
        <v>0.22</v>
      </c>
      <c r="F12" s="12">
        <v>0.19</v>
      </c>
      <c r="G12" s="12">
        <f>7/(1327/90)</f>
        <v>0.47475508666164284</v>
      </c>
      <c r="H12" s="11">
        <v>16</v>
      </c>
      <c r="I12" s="11">
        <v>19</v>
      </c>
      <c r="J12" s="11"/>
      <c r="K12" s="11"/>
      <c r="L12" s="11"/>
      <c r="M12" s="11"/>
      <c r="N12" s="11">
        <v>1</v>
      </c>
      <c r="O12" s="11">
        <v>7</v>
      </c>
      <c r="P12" s="12">
        <f>AVL_27[[#This Row],[xPoints Av.]]*AVL_27[[#This Row],[Regularity]]</f>
        <v>3.4903200729782258</v>
      </c>
      <c r="Q12" s="11" t="s">
        <v>19</v>
      </c>
    </row>
    <row r="13" spans="1:17" ht="24" x14ac:dyDescent="0.45">
      <c r="A13" s="11" t="s">
        <v>100</v>
      </c>
      <c r="B13" s="11" t="s">
        <v>75</v>
      </c>
      <c r="C1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3.0212621359223299</v>
      </c>
      <c r="D1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0.89473684210526316</v>
      </c>
      <c r="E13" s="12">
        <v>0.05</v>
      </c>
      <c r="F13" s="12">
        <v>0.16</v>
      </c>
      <c r="G13" s="12">
        <f>10/(3090/90)</f>
        <v>0.29126213592233008</v>
      </c>
      <c r="H13" s="11">
        <v>34</v>
      </c>
      <c r="I13" s="11">
        <v>38</v>
      </c>
      <c r="J13" s="11"/>
      <c r="K13" s="11"/>
      <c r="L13" s="11"/>
      <c r="M13" s="11"/>
      <c r="N13" s="11">
        <v>1</v>
      </c>
      <c r="O13" s="11">
        <v>5.5</v>
      </c>
      <c r="P13" s="12">
        <f>AVL_27[[#This Row],[xPoints Av.]]*AVL_27[[#This Row],[Regularity]]</f>
        <v>2.7032345426673481</v>
      </c>
      <c r="Q13" s="11" t="s">
        <v>19</v>
      </c>
    </row>
    <row r="14" spans="1:17" ht="24" x14ac:dyDescent="0.45">
      <c r="A14" s="11" t="s">
        <v>101</v>
      </c>
      <c r="B14" s="11" t="s">
        <v>75</v>
      </c>
      <c r="C1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3.3481338742393509</v>
      </c>
      <c r="D1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0.71052631578947367</v>
      </c>
      <c r="E14" s="12">
        <v>0.14000000000000001</v>
      </c>
      <c r="F14" s="12">
        <v>7.0000000000000007E-2</v>
      </c>
      <c r="G14" s="12">
        <f>12/(2465/90)</f>
        <v>0.43813387423935091</v>
      </c>
      <c r="H14" s="11">
        <v>27</v>
      </c>
      <c r="I14" s="11">
        <v>38</v>
      </c>
      <c r="J14" s="11"/>
      <c r="K14" s="11"/>
      <c r="L14" s="11"/>
      <c r="M14" s="11"/>
      <c r="N14" s="11">
        <v>1</v>
      </c>
      <c r="O14" s="11">
        <v>5.5</v>
      </c>
      <c r="P14" s="12">
        <f>AVL_27[[#This Row],[xPoints Av.]]*AVL_27[[#This Row],[Regularity]]</f>
        <v>2.3789372264332229</v>
      </c>
      <c r="Q14" s="11" t="s">
        <v>19</v>
      </c>
    </row>
    <row r="15" spans="1:17" ht="24" x14ac:dyDescent="0.45">
      <c r="A15" s="13" t="s">
        <v>103</v>
      </c>
      <c r="B15" s="11" t="s">
        <v>75</v>
      </c>
      <c r="C1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2.9214917127071827</v>
      </c>
      <c r="D1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0.78947368421052633</v>
      </c>
      <c r="E15" s="12">
        <v>7.0000000000000007E-2</v>
      </c>
      <c r="F15" s="12">
        <v>0.08</v>
      </c>
      <c r="G15" s="12">
        <f>10/(2715/90)</f>
        <v>0.33149171270718231</v>
      </c>
      <c r="H15" s="11">
        <v>30</v>
      </c>
      <c r="I15" s="11">
        <v>38</v>
      </c>
      <c r="J15" s="11"/>
      <c r="K15" s="11"/>
      <c r="L15" s="11"/>
      <c r="M15" s="11"/>
      <c r="N15" s="11">
        <v>1</v>
      </c>
      <c r="O15" s="11">
        <v>5</v>
      </c>
      <c r="P15" s="12">
        <f>AVL_27[[#This Row],[xPoints Av.]]*AVL_27[[#This Row],[Regularity]]</f>
        <v>2.3064408258214599</v>
      </c>
      <c r="Q15" s="11" t="s">
        <v>19</v>
      </c>
    </row>
    <row r="16" spans="1:17" ht="24" x14ac:dyDescent="0.45">
      <c r="A16" s="11" t="s">
        <v>102</v>
      </c>
      <c r="B16" s="11" t="s">
        <v>75</v>
      </c>
      <c r="C1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3.6938632750397455</v>
      </c>
      <c r="D1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0.52631578947368418</v>
      </c>
      <c r="E16" s="12">
        <v>0.14000000000000001</v>
      </c>
      <c r="F16" s="12">
        <v>0.22</v>
      </c>
      <c r="G16" s="12">
        <f>7/(1887/90)</f>
        <v>0.33386327503974567</v>
      </c>
      <c r="H16" s="11">
        <v>20</v>
      </c>
      <c r="I16" s="11">
        <v>38</v>
      </c>
      <c r="J16" s="11"/>
      <c r="K16" s="11"/>
      <c r="L16" s="11"/>
      <c r="M16" s="11"/>
      <c r="N16" s="11">
        <v>1</v>
      </c>
      <c r="O16" s="11">
        <v>6</v>
      </c>
      <c r="P16" s="12">
        <f>AVL_27[[#This Row],[xPoints Av.]]*AVL_27[[#This Row],[Regularity]]</f>
        <v>1.9441385658103922</v>
      </c>
      <c r="Q16" s="11" t="s">
        <v>19</v>
      </c>
    </row>
    <row r="17" spans="1:17" ht="24" x14ac:dyDescent="0.45">
      <c r="A17" s="11" t="s">
        <v>106</v>
      </c>
      <c r="B17" s="11" t="s">
        <v>75</v>
      </c>
      <c r="C1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2.200222469410456</v>
      </c>
      <c r="D1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0.39130434782608697</v>
      </c>
      <c r="E17" s="12">
        <v>0</v>
      </c>
      <c r="F17" s="12">
        <v>0</v>
      </c>
      <c r="G17" s="12">
        <f>2/(899/90)</f>
        <v>0.20022246941045607</v>
      </c>
      <c r="H17" s="11">
        <v>9</v>
      </c>
      <c r="I17" s="11">
        <v>23</v>
      </c>
      <c r="J17" s="11"/>
      <c r="K17" s="11"/>
      <c r="L17" s="11"/>
      <c r="M17" s="11"/>
      <c r="N17" s="11">
        <v>1</v>
      </c>
      <c r="O17" s="11">
        <v>4.5</v>
      </c>
      <c r="P17" s="12">
        <f>AVL_27[[#This Row],[xPoints Av.]]*AVL_27[[#This Row],[Regularity]]</f>
        <v>0.86095661846496108</v>
      </c>
      <c r="Q17" s="11" t="s">
        <v>19</v>
      </c>
    </row>
    <row r="18" spans="1:17" ht="24" x14ac:dyDescent="0.45">
      <c r="A18" s="11" t="s">
        <v>105</v>
      </c>
      <c r="B18" s="11" t="s">
        <v>75</v>
      </c>
      <c r="C1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3.4299999999999997</v>
      </c>
      <c r="D1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0.17241379310344829</v>
      </c>
      <c r="E18" s="12">
        <v>0.19</v>
      </c>
      <c r="F18" s="12">
        <v>0.08</v>
      </c>
      <c r="G18" s="12">
        <f>2/(750/90)</f>
        <v>0.24</v>
      </c>
      <c r="H18" s="11">
        <v>5</v>
      </c>
      <c r="I18" s="11">
        <v>29</v>
      </c>
      <c r="J18" s="11"/>
      <c r="K18" s="11"/>
      <c r="L18" s="11"/>
      <c r="M18" s="11"/>
      <c r="N18" s="11">
        <v>1</v>
      </c>
      <c r="O18" s="11">
        <v>5</v>
      </c>
      <c r="P18" s="12">
        <f>AVL_27[[#This Row],[xPoints Av.]]*AVL_27[[#This Row],[Regularity]]</f>
        <v>0.5913793103448276</v>
      </c>
      <c r="Q18" s="11" t="s">
        <v>19</v>
      </c>
    </row>
    <row r="19" spans="1:17" ht="24" x14ac:dyDescent="0.45">
      <c r="A19" s="13" t="s">
        <v>107</v>
      </c>
      <c r="B19" s="11" t="s">
        <v>75</v>
      </c>
      <c r="C1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</v>
      </c>
      <c r="D1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2.6315789473684209E-2</v>
      </c>
      <c r="E19" s="12">
        <v>0.21</v>
      </c>
      <c r="F19" s="12">
        <v>0.33</v>
      </c>
      <c r="G19" s="12">
        <f>0/(291/90)</f>
        <v>0</v>
      </c>
      <c r="H19" s="11">
        <v>1</v>
      </c>
      <c r="I19" s="11">
        <v>38</v>
      </c>
      <c r="J19" s="11"/>
      <c r="K19" s="11"/>
      <c r="L19" s="11"/>
      <c r="M19" s="11"/>
      <c r="N19" s="11">
        <v>1</v>
      </c>
      <c r="O19" s="11">
        <v>4.5</v>
      </c>
      <c r="P19" s="12">
        <f>AVL_27[[#This Row],[xPoints Av.]]*AVL_27[[#This Row],[Regularity]]</f>
        <v>0.10631578947368421</v>
      </c>
      <c r="Q19" s="11" t="s">
        <v>19</v>
      </c>
    </row>
    <row r="20" spans="1:17" ht="24" x14ac:dyDescent="0.45">
      <c r="A20" s="11" t="s">
        <v>108</v>
      </c>
      <c r="B20" s="11" t="s">
        <v>75</v>
      </c>
      <c r="C2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2.6</v>
      </c>
      <c r="D2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2.777777777777778E-2</v>
      </c>
      <c r="E20" s="12">
        <v>0.12</v>
      </c>
      <c r="F20" s="12">
        <v>0</v>
      </c>
      <c r="G20" s="12">
        <f>0/(212/90)</f>
        <v>0</v>
      </c>
      <c r="H20" s="11">
        <v>1</v>
      </c>
      <c r="I20" s="11">
        <v>36</v>
      </c>
      <c r="J20" s="11"/>
      <c r="K20" s="11"/>
      <c r="L20" s="11"/>
      <c r="M20" s="11"/>
      <c r="N20" s="11">
        <v>1</v>
      </c>
      <c r="O20" s="11">
        <v>5</v>
      </c>
      <c r="P20" s="12">
        <f>AVL_27[[#This Row],[xPoints Av.]]*AVL_27[[#This Row],[Regularity]]</f>
        <v>7.2222222222222229E-2</v>
      </c>
      <c r="Q20" s="11" t="s">
        <v>19</v>
      </c>
    </row>
  </sheetData>
  <dataValidations count="1">
    <dataValidation type="list" allowBlank="1" showInputMessage="1" showErrorMessage="1" sqref="B2:B20" xr:uid="{3C46925C-89CE-4E82-A7A6-EE4F16133BD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EB5C-8B38-43E0-BFB3-1F388CDB1CB3}">
  <dimension ref="A1:Q16"/>
  <sheetViews>
    <sheetView workbookViewId="0">
      <selection activeCell="E29" sqref="E29"/>
    </sheetView>
  </sheetViews>
  <sheetFormatPr defaultRowHeight="15" x14ac:dyDescent="0.25"/>
  <cols>
    <col min="1" max="1" width="17.5703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113</v>
      </c>
      <c r="B2" s="11" t="s">
        <v>64</v>
      </c>
      <c r="C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3.6472086720867209</v>
      </c>
      <c r="D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0.97368421052631582</v>
      </c>
      <c r="E2" s="12">
        <v>0.12</v>
      </c>
      <c r="F2" s="12">
        <v>0.02</v>
      </c>
      <c r="G2" s="12">
        <f>8/(3321/90)</f>
        <v>0.21680216802168023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4.5</v>
      </c>
      <c r="P2" s="12">
        <f>BRE_28[[#This Row],[xPoints Av.]]*BRE_28[[#This Row],[Regularity]]</f>
        <v>3.5512294965054916</v>
      </c>
      <c r="Q2" s="11" t="s">
        <v>18</v>
      </c>
    </row>
    <row r="3" spans="1:17" ht="24" x14ac:dyDescent="0.45">
      <c r="A3" s="11" t="s">
        <v>114</v>
      </c>
      <c r="B3" s="11" t="s">
        <v>64</v>
      </c>
      <c r="C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3.7075675675675677</v>
      </c>
      <c r="D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0.81578947368421051</v>
      </c>
      <c r="E3" s="12">
        <v>0.06</v>
      </c>
      <c r="F3" s="12">
        <v>0.06</v>
      </c>
      <c r="G3" s="12">
        <f>9/(2775/90)</f>
        <v>0.29189189189189191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4.5</v>
      </c>
      <c r="P3" s="12">
        <f>BRE_28[[#This Row],[xPoints Av.]]*BRE_28[[#This Row],[Regularity]]</f>
        <v>3.0245945945945945</v>
      </c>
      <c r="Q3" s="11" t="s">
        <v>18</v>
      </c>
    </row>
    <row r="4" spans="1:17" ht="24" x14ac:dyDescent="0.45">
      <c r="A4" s="11" t="s">
        <v>115</v>
      </c>
      <c r="B4" s="11" t="s">
        <v>64</v>
      </c>
      <c r="C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3.4754120267260578</v>
      </c>
      <c r="D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0.76315789473684215</v>
      </c>
      <c r="E4" s="12">
        <v>0.06</v>
      </c>
      <c r="F4" s="12">
        <v>0.06</v>
      </c>
      <c r="G4" s="12">
        <f>7/(2694/90)</f>
        <v>0.23385300668151449</v>
      </c>
      <c r="H4" s="11">
        <v>29</v>
      </c>
      <c r="I4" s="11">
        <v>38</v>
      </c>
      <c r="J4" s="11"/>
      <c r="K4" s="11"/>
      <c r="L4" s="11"/>
      <c r="M4" s="11"/>
      <c r="N4" s="11">
        <v>1</v>
      </c>
      <c r="O4" s="11">
        <v>4.5</v>
      </c>
      <c r="P4" s="12">
        <f>BRE_28[[#This Row],[xPoints Av.]]*BRE_28[[#This Row],[Regularity]]</f>
        <v>2.6522881256593602</v>
      </c>
      <c r="Q4" s="11" t="s">
        <v>18</v>
      </c>
    </row>
    <row r="5" spans="1:17" ht="24" x14ac:dyDescent="0.45">
      <c r="A5" s="11" t="s">
        <v>116</v>
      </c>
      <c r="B5" s="11" t="s">
        <v>64</v>
      </c>
      <c r="C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4.0436090225563905</v>
      </c>
      <c r="D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0.57894736842105265</v>
      </c>
      <c r="E5" s="12">
        <v>0.05</v>
      </c>
      <c r="F5" s="12">
        <v>0.1</v>
      </c>
      <c r="G5" s="12">
        <f>8/(1995/90)</f>
        <v>0.36090225563909772</v>
      </c>
      <c r="H5" s="11">
        <v>22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BRE_28[[#This Row],[xPoints Av.]]*BRE_28[[#This Row],[Regularity]]</f>
        <v>2.3410368025326473</v>
      </c>
      <c r="Q5" s="11" t="s">
        <v>18</v>
      </c>
    </row>
    <row r="6" spans="1:17" ht="24" x14ac:dyDescent="0.45">
      <c r="A6" s="11" t="s">
        <v>117</v>
      </c>
      <c r="B6" s="11" t="s">
        <v>64</v>
      </c>
      <c r="C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2.6222077922077922</v>
      </c>
      <c r="D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0.31578947368421051</v>
      </c>
      <c r="E6" s="12">
        <v>0.02</v>
      </c>
      <c r="F6" s="12">
        <v>7.0000000000000007E-2</v>
      </c>
      <c r="G6" s="12">
        <f>1/(1232/90)</f>
        <v>7.3051948051948062E-2</v>
      </c>
      <c r="H6" s="11">
        <v>12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BRE_28[[#This Row],[xPoints Av.]]*BRE_28[[#This Row],[Regularity]]</f>
        <v>0.82806561859193428</v>
      </c>
      <c r="Q6" s="11" t="s">
        <v>18</v>
      </c>
    </row>
    <row r="7" spans="1:17" ht="24" x14ac:dyDescent="0.45">
      <c r="A7" s="11" t="s">
        <v>127</v>
      </c>
      <c r="B7" s="11" t="s">
        <v>84</v>
      </c>
      <c r="C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4.17</v>
      </c>
      <c r="D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7" s="12">
        <v>0.37</v>
      </c>
      <c r="F7" s="12">
        <v>0.23</v>
      </c>
      <c r="G7" s="12">
        <f>8/(2908/90)</f>
        <v>0.24759284731774417</v>
      </c>
      <c r="H7" s="11">
        <v>32</v>
      </c>
      <c r="I7" s="11">
        <v>38</v>
      </c>
      <c r="J7" s="11"/>
      <c r="K7" s="11"/>
      <c r="L7" s="11"/>
      <c r="M7" s="11"/>
      <c r="N7" s="11">
        <v>1</v>
      </c>
      <c r="O7" s="11">
        <v>7</v>
      </c>
      <c r="P7" s="12">
        <f>BRE_28[[#This Row],[xPoints Av.]]*BRE_28[[#This Row],[Regularity]]</f>
        <v>3.5115789473684207</v>
      </c>
      <c r="Q7" s="11" t="s">
        <v>18</v>
      </c>
    </row>
    <row r="8" spans="1:17" ht="24" x14ac:dyDescent="0.45">
      <c r="A8" s="11" t="s">
        <v>118</v>
      </c>
      <c r="B8" s="11" t="s">
        <v>84</v>
      </c>
      <c r="C8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3.56</v>
      </c>
      <c r="D8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8" s="12">
        <v>0.3</v>
      </c>
      <c r="F8" s="12">
        <v>0.12</v>
      </c>
      <c r="G8" s="12">
        <f>9/(2905/90)</f>
        <v>0.27882960413080893</v>
      </c>
      <c r="H8" s="11">
        <v>32</v>
      </c>
      <c r="I8" s="11">
        <v>38</v>
      </c>
      <c r="J8" s="11"/>
      <c r="K8" s="11"/>
      <c r="L8" s="11"/>
      <c r="M8" s="11"/>
      <c r="N8" s="11">
        <v>1</v>
      </c>
      <c r="O8" s="11">
        <v>6</v>
      </c>
      <c r="P8" s="12">
        <f>BRE_28[[#This Row],[xPoints Av.]]*BRE_28[[#This Row],[Regularity]]</f>
        <v>2.9978947368421052</v>
      </c>
      <c r="Q8" s="11" t="s">
        <v>18</v>
      </c>
    </row>
    <row r="9" spans="1:17" ht="24" x14ac:dyDescent="0.45">
      <c r="A9" s="11" t="s">
        <v>112</v>
      </c>
      <c r="B9" s="11" t="s">
        <v>62</v>
      </c>
      <c r="C9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3.333333333333333</v>
      </c>
      <c r="D9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1</v>
      </c>
      <c r="E9" s="12">
        <v>0</v>
      </c>
      <c r="F9" s="12">
        <v>0</v>
      </c>
      <c r="G9" s="12">
        <f>8/(2160/90)</f>
        <v>0.33333333333333331</v>
      </c>
      <c r="H9" s="11">
        <v>24</v>
      </c>
      <c r="I9" s="11">
        <v>24</v>
      </c>
      <c r="J9" s="11"/>
      <c r="K9" s="11"/>
      <c r="L9" s="11"/>
      <c r="M9" s="11"/>
      <c r="N9" s="11">
        <v>1</v>
      </c>
      <c r="O9" s="11">
        <v>4.5</v>
      </c>
      <c r="P9" s="12">
        <f>BRE_28[[#This Row],[xPoints Av.]]*BRE_28[[#This Row],[Regularity]]</f>
        <v>3.333333333333333</v>
      </c>
      <c r="Q9" s="11" t="s">
        <v>18</v>
      </c>
    </row>
    <row r="10" spans="1:17" ht="24" x14ac:dyDescent="0.45">
      <c r="A10" s="11" t="s">
        <v>119</v>
      </c>
      <c r="B10" s="11" t="s">
        <v>75</v>
      </c>
      <c r="C10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3.3457563850687624</v>
      </c>
      <c r="D10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0.89473684210526316</v>
      </c>
      <c r="E10" s="12">
        <v>0.15</v>
      </c>
      <c r="F10" s="12">
        <v>0.12</v>
      </c>
      <c r="G10" s="12">
        <f>8/(3054/90)</f>
        <v>0.23575638506876231</v>
      </c>
      <c r="H10" s="11">
        <v>34</v>
      </c>
      <c r="I10" s="11">
        <v>38</v>
      </c>
      <c r="J10" s="11"/>
      <c r="K10" s="11"/>
      <c r="L10" s="11"/>
      <c r="M10" s="11"/>
      <c r="N10" s="11">
        <v>1</v>
      </c>
      <c r="O10" s="11">
        <v>5.5</v>
      </c>
      <c r="P10" s="12">
        <f>BRE_28[[#This Row],[xPoints Av.]]*BRE_28[[#This Row],[Regularity]]</f>
        <v>2.9935715024299454</v>
      </c>
      <c r="Q10" s="11" t="s">
        <v>18</v>
      </c>
    </row>
    <row r="11" spans="1:17" ht="24" x14ac:dyDescent="0.45">
      <c r="A11" s="11" t="s">
        <v>124</v>
      </c>
      <c r="B11" s="11" t="s">
        <v>64</v>
      </c>
      <c r="C11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4.5566153105440534</v>
      </c>
      <c r="D11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0.63157894736842102</v>
      </c>
      <c r="E11" s="12">
        <v>0.15</v>
      </c>
      <c r="F11" s="12">
        <v>0.09</v>
      </c>
      <c r="G11" s="12">
        <f>8/(2077/90)</f>
        <v>0.34665382763601343</v>
      </c>
      <c r="H11" s="11">
        <v>24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BRE_28[[#This Row],[xPoints Av.]]*BRE_28[[#This Row],[Regularity]]</f>
        <v>2.8778623013962443</v>
      </c>
      <c r="Q11" s="11" t="s">
        <v>18</v>
      </c>
    </row>
    <row r="12" spans="1:17" ht="24" x14ac:dyDescent="0.45">
      <c r="A12" s="11" t="s">
        <v>121</v>
      </c>
      <c r="B12" s="11" t="s">
        <v>75</v>
      </c>
      <c r="C1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3.1629411764705884</v>
      </c>
      <c r="D1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0.65789473684210531</v>
      </c>
      <c r="E12" s="12">
        <v>0.12</v>
      </c>
      <c r="F12" s="12">
        <v>7.0000000000000007E-2</v>
      </c>
      <c r="G12" s="12">
        <f>9/(2295/90)</f>
        <v>0.35294117647058826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5.5</v>
      </c>
      <c r="P12" s="12">
        <f>BRE_28[[#This Row],[xPoints Av.]]*BRE_28[[#This Row],[Regularity]]</f>
        <v>2.0808823529411766</v>
      </c>
      <c r="Q12" s="11" t="s">
        <v>18</v>
      </c>
    </row>
    <row r="13" spans="1:17" ht="24" x14ac:dyDescent="0.45">
      <c r="A13" s="11" t="s">
        <v>125</v>
      </c>
      <c r="B13" s="11" t="s">
        <v>75</v>
      </c>
      <c r="C1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3.4598113207547172</v>
      </c>
      <c r="D1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0.38235294117647056</v>
      </c>
      <c r="E13" s="12">
        <v>0.15</v>
      </c>
      <c r="F13" s="12">
        <v>0.18</v>
      </c>
      <c r="G13" s="12">
        <f>3/(1590/90)</f>
        <v>0.16981132075471697</v>
      </c>
      <c r="H13" s="11">
        <v>13</v>
      </c>
      <c r="I13" s="11">
        <v>34</v>
      </c>
      <c r="J13" s="11"/>
      <c r="K13" s="11"/>
      <c r="L13" s="11"/>
      <c r="M13" s="11"/>
      <c r="N13" s="11">
        <v>1</v>
      </c>
      <c r="O13" s="11">
        <v>5</v>
      </c>
      <c r="P13" s="12">
        <f>BRE_28[[#This Row],[xPoints Av.]]*BRE_28[[#This Row],[Regularity]]</f>
        <v>1.3228690344062153</v>
      </c>
      <c r="Q13" s="11" t="s">
        <v>18</v>
      </c>
    </row>
    <row r="14" spans="1:17" ht="24" x14ac:dyDescent="0.45">
      <c r="A14" s="11" t="s">
        <v>120</v>
      </c>
      <c r="B14" s="11" t="s">
        <v>75</v>
      </c>
      <c r="C1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3.6129337539432176</v>
      </c>
      <c r="D1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0.34210526315789475</v>
      </c>
      <c r="E14" s="12">
        <v>0.25</v>
      </c>
      <c r="F14" s="12">
        <v>0.05</v>
      </c>
      <c r="G14" s="12">
        <f>3/(1268/90)</f>
        <v>0.21293375394321767</v>
      </c>
      <c r="H14" s="11">
        <v>13</v>
      </c>
      <c r="I14" s="11">
        <v>38</v>
      </c>
      <c r="J14" s="11"/>
      <c r="K14" s="11"/>
      <c r="L14" s="11"/>
      <c r="M14" s="11"/>
      <c r="N14" s="11">
        <v>1</v>
      </c>
      <c r="O14" s="11">
        <v>5.5</v>
      </c>
      <c r="P14" s="12">
        <f>BRE_28[[#This Row],[xPoints Av.]]*BRE_28[[#This Row],[Regularity]]</f>
        <v>1.2360036526647851</v>
      </c>
      <c r="Q14" s="11" t="s">
        <v>18</v>
      </c>
    </row>
    <row r="15" spans="1:17" ht="24" x14ac:dyDescent="0.45">
      <c r="A15" s="11" t="s">
        <v>123</v>
      </c>
      <c r="B15" s="11" t="s">
        <v>75</v>
      </c>
      <c r="C1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2.6396153846153849</v>
      </c>
      <c r="D1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0.26315789473684209</v>
      </c>
      <c r="E15" s="12">
        <v>7.0000000000000007E-2</v>
      </c>
      <c r="F15" s="12">
        <v>0.01</v>
      </c>
      <c r="G15" s="12">
        <f>3/(1040/90)</f>
        <v>0.25961538461538464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>
        <v>5</v>
      </c>
      <c r="P15" s="12">
        <f>BRE_28[[#This Row],[xPoints Av.]]*BRE_28[[#This Row],[Regularity]]</f>
        <v>0.69463562753036445</v>
      </c>
      <c r="Q15" s="11" t="s">
        <v>18</v>
      </c>
    </row>
    <row r="16" spans="1:17" ht="24" x14ac:dyDescent="0.45">
      <c r="A16" s="11" t="s">
        <v>126</v>
      </c>
      <c r="B16" s="11" t="s">
        <v>75</v>
      </c>
      <c r="C1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2.6504454342984411</v>
      </c>
      <c r="D1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0.18421052631578946</v>
      </c>
      <c r="E16" s="12">
        <v>0.06</v>
      </c>
      <c r="F16" s="12">
        <v>0.05</v>
      </c>
      <c r="G16" s="12">
        <f>2/(898/90)</f>
        <v>0.20044543429844097</v>
      </c>
      <c r="H16" s="11">
        <v>7</v>
      </c>
      <c r="I16" s="11">
        <v>38</v>
      </c>
      <c r="J16" s="11"/>
      <c r="K16" s="11"/>
      <c r="L16" s="11"/>
      <c r="M16" s="11"/>
      <c r="N16" s="11">
        <v>1</v>
      </c>
      <c r="O16" s="11">
        <v>4.5</v>
      </c>
      <c r="P16" s="12">
        <f>BRE_28[[#This Row],[xPoints Av.]]*BRE_28[[#This Row],[Regularity]]</f>
        <v>0.48823994842339702</v>
      </c>
      <c r="Q16" s="11" t="s">
        <v>18</v>
      </c>
    </row>
  </sheetData>
  <dataValidations count="1">
    <dataValidation type="list" allowBlank="1" showInputMessage="1" showErrorMessage="1" sqref="B2:B10 B11:B16" xr:uid="{21338321-E8EF-4AE3-A8FE-F62A4A2A791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8ED-6F00-4277-A9E9-C6504EA248E3}">
  <dimension ref="A1:Q16"/>
  <sheetViews>
    <sheetView workbookViewId="0">
      <selection activeCell="O19" sqref="O19"/>
    </sheetView>
  </sheetViews>
  <sheetFormatPr defaultRowHeight="15" x14ac:dyDescent="0.25"/>
  <cols>
    <col min="1" max="1" width="20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131</v>
      </c>
      <c r="B2" s="11" t="s">
        <v>64</v>
      </c>
      <c r="C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3.6419682745224993</v>
      </c>
      <c r="D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2" s="12">
        <v>0.02</v>
      </c>
      <c r="F2" s="12">
        <v>0.08</v>
      </c>
      <c r="G2" s="12">
        <f>11/(3089/90)</f>
        <v>0.32049206863062479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5</v>
      </c>
      <c r="P2" s="12">
        <f>BHA_29[[#This Row],[xPoints Av.]]*BHA_29[[#This Row],[Regularity]]</f>
        <v>3.6419682745224993</v>
      </c>
      <c r="Q2" s="11" t="s">
        <v>129</v>
      </c>
    </row>
    <row r="3" spans="1:17" ht="24" x14ac:dyDescent="0.45">
      <c r="A3" s="11" t="s">
        <v>133</v>
      </c>
      <c r="B3" s="11" t="s">
        <v>64</v>
      </c>
      <c r="C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3.7291449669646326</v>
      </c>
      <c r="D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0.96551724137931039</v>
      </c>
      <c r="E3" s="12">
        <v>0.05</v>
      </c>
      <c r="F3" s="12">
        <v>0.01</v>
      </c>
      <c r="G3" s="12">
        <f>10/(2573/90)</f>
        <v>0.34978624174115819</v>
      </c>
      <c r="H3" s="11">
        <v>28</v>
      </c>
      <c r="I3" s="11">
        <v>29</v>
      </c>
      <c r="J3" s="11"/>
      <c r="K3" s="11"/>
      <c r="L3" s="11"/>
      <c r="M3" s="11"/>
      <c r="N3" s="11">
        <v>1</v>
      </c>
      <c r="O3" s="11">
        <v>4.5</v>
      </c>
      <c r="P3" s="12">
        <f>BHA_29[[#This Row],[xPoints Av.]]*BHA_29[[#This Row],[Regularity]]</f>
        <v>3.6005537612072316</v>
      </c>
      <c r="Q3" s="11" t="s">
        <v>129</v>
      </c>
    </row>
    <row r="4" spans="1:17" ht="24" x14ac:dyDescent="0.45">
      <c r="A4" s="11" t="s">
        <v>132</v>
      </c>
      <c r="B4" s="11" t="s">
        <v>64</v>
      </c>
      <c r="C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3.2720876826722338</v>
      </c>
      <c r="D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0.96969696969696972</v>
      </c>
      <c r="E4" s="12">
        <v>0.02</v>
      </c>
      <c r="F4" s="12">
        <v>0.05</v>
      </c>
      <c r="G4" s="12">
        <f>8/(2874/90)</f>
        <v>0.25052192066805845</v>
      </c>
      <c r="H4" s="11">
        <v>32</v>
      </c>
      <c r="I4" s="11">
        <v>33</v>
      </c>
      <c r="J4" s="11"/>
      <c r="K4" s="11"/>
      <c r="L4" s="11"/>
      <c r="M4" s="11"/>
      <c r="N4" s="11">
        <v>1</v>
      </c>
      <c r="O4" s="11">
        <v>4.5</v>
      </c>
      <c r="P4" s="12">
        <f>BHA_29[[#This Row],[xPoints Av.]]*BHA_29[[#This Row],[Regularity]]</f>
        <v>3.1729335104700449</v>
      </c>
      <c r="Q4" s="11" t="s">
        <v>129</v>
      </c>
    </row>
    <row r="5" spans="1:17" ht="24" x14ac:dyDescent="0.45">
      <c r="A5" s="11" t="s">
        <v>135</v>
      </c>
      <c r="B5" s="11" t="s">
        <v>64</v>
      </c>
      <c r="C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3.5476976906927922</v>
      </c>
      <c r="D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0.58333333333333337</v>
      </c>
      <c r="E5" s="12">
        <v>0.09</v>
      </c>
      <c r="F5" s="12">
        <v>0</v>
      </c>
      <c r="G5" s="12">
        <f>4/(1429/90)</f>
        <v>0.25192442267319803</v>
      </c>
      <c r="H5" s="11">
        <v>14</v>
      </c>
      <c r="I5" s="11">
        <v>24</v>
      </c>
      <c r="J5" s="11"/>
      <c r="K5" s="11"/>
      <c r="L5" s="11"/>
      <c r="M5" s="11"/>
      <c r="N5" s="11">
        <v>1</v>
      </c>
      <c r="O5" s="11">
        <v>4.5</v>
      </c>
      <c r="P5" s="12">
        <f>BHA_29[[#This Row],[xPoints Av.]]*BHA_29[[#This Row],[Regularity]]</f>
        <v>2.0694903195707957</v>
      </c>
      <c r="Q5" s="11" t="s">
        <v>129</v>
      </c>
    </row>
    <row r="6" spans="1:17" ht="24" x14ac:dyDescent="0.45">
      <c r="A6" s="11" t="s">
        <v>136</v>
      </c>
      <c r="B6" s="11" t="s">
        <v>64</v>
      </c>
      <c r="C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3.3941841004184101</v>
      </c>
      <c r="D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0.4838709677419355</v>
      </c>
      <c r="E6" s="12">
        <v>0.06</v>
      </c>
      <c r="F6" s="12">
        <v>0.01</v>
      </c>
      <c r="G6" s="12">
        <f>4/(1434/90)</f>
        <v>0.2510460251046025</v>
      </c>
      <c r="H6" s="11">
        <v>15</v>
      </c>
      <c r="I6" s="11">
        <v>31</v>
      </c>
      <c r="J6" s="11"/>
      <c r="K6" s="11"/>
      <c r="L6" s="11"/>
      <c r="M6" s="11"/>
      <c r="N6" s="11">
        <v>1</v>
      </c>
      <c r="O6" s="11">
        <v>4.5</v>
      </c>
      <c r="P6" s="12">
        <f>BHA_29[[#This Row],[xPoints Av.]]*BHA_29[[#This Row],[Regularity]]</f>
        <v>1.6423471453637468</v>
      </c>
      <c r="Q6" s="11" t="s">
        <v>129</v>
      </c>
    </row>
    <row r="7" spans="1:17" ht="24" x14ac:dyDescent="0.45">
      <c r="A7" s="11" t="s">
        <v>134</v>
      </c>
      <c r="B7" s="11" t="s">
        <v>64</v>
      </c>
      <c r="C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4.2662508080155135</v>
      </c>
      <c r="D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0.3783783783783784</v>
      </c>
      <c r="E7" s="12">
        <v>0.06</v>
      </c>
      <c r="F7" s="12">
        <v>0.17</v>
      </c>
      <c r="G7" s="12">
        <f>6/(1547/90)</f>
        <v>0.34906270200387846</v>
      </c>
      <c r="H7" s="11">
        <v>14</v>
      </c>
      <c r="I7" s="11">
        <v>37</v>
      </c>
      <c r="J7" s="11"/>
      <c r="K7" s="11"/>
      <c r="L7" s="11"/>
      <c r="M7" s="11"/>
      <c r="N7" s="11">
        <v>1</v>
      </c>
      <c r="O7" s="11">
        <v>4.5</v>
      </c>
      <c r="P7" s="12">
        <f>BHA_29[[#This Row],[xPoints Av.]]*BHA_29[[#This Row],[Regularity]]</f>
        <v>1.6142570624923565</v>
      </c>
      <c r="Q7" s="11" t="s">
        <v>129</v>
      </c>
    </row>
    <row r="8" spans="1:17" ht="24" x14ac:dyDescent="0.45">
      <c r="A8" s="11" t="s">
        <v>145</v>
      </c>
      <c r="B8" s="11" t="s">
        <v>84</v>
      </c>
      <c r="C8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4.2200000000000006</v>
      </c>
      <c r="D8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0.65217391304347827</v>
      </c>
      <c r="E8" s="12">
        <v>0.51</v>
      </c>
      <c r="F8" s="12">
        <v>0.06</v>
      </c>
      <c r="G8" s="12">
        <f>5/(1469/90)</f>
        <v>0.30633083730428862</v>
      </c>
      <c r="H8" s="11">
        <v>15</v>
      </c>
      <c r="I8" s="11">
        <v>23</v>
      </c>
      <c r="J8" s="11"/>
      <c r="K8" s="11"/>
      <c r="L8" s="11"/>
      <c r="M8" s="11"/>
      <c r="N8" s="11">
        <v>1</v>
      </c>
      <c r="O8" s="11">
        <v>6.5</v>
      </c>
      <c r="P8" s="12">
        <f>BHA_29[[#This Row],[xPoints Av.]]*BHA_29[[#This Row],[Regularity]]</f>
        <v>2.7521739130434786</v>
      </c>
      <c r="Q8" s="11" t="s">
        <v>129</v>
      </c>
    </row>
    <row r="9" spans="1:17" ht="24" x14ac:dyDescent="0.45">
      <c r="A9" s="11" t="s">
        <v>144</v>
      </c>
      <c r="B9" s="11" t="s">
        <v>84</v>
      </c>
      <c r="C9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3.62</v>
      </c>
      <c r="D9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0.62857142857142856</v>
      </c>
      <c r="E9" s="12">
        <v>0.33</v>
      </c>
      <c r="F9" s="12">
        <v>0.1</v>
      </c>
      <c r="G9" s="12">
        <f>7/(2269/90)</f>
        <v>0.27765535478184222</v>
      </c>
      <c r="H9" s="11">
        <v>22</v>
      </c>
      <c r="I9" s="11">
        <v>35</v>
      </c>
      <c r="J9" s="11"/>
      <c r="K9" s="11"/>
      <c r="L9" s="11"/>
      <c r="M9" s="11"/>
      <c r="N9" s="11">
        <v>1</v>
      </c>
      <c r="O9" s="11">
        <v>6.5</v>
      </c>
      <c r="P9" s="12">
        <f>BHA_29[[#This Row],[xPoints Av.]]*BHA_29[[#This Row],[Regularity]]</f>
        <v>2.2754285714285714</v>
      </c>
      <c r="Q9" s="11" t="s">
        <v>129</v>
      </c>
    </row>
    <row r="10" spans="1:17" ht="24" x14ac:dyDescent="0.45">
      <c r="A10" s="11" t="s">
        <v>130</v>
      </c>
      <c r="B10" s="11" t="s">
        <v>62</v>
      </c>
      <c r="C10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3.1891891891891895</v>
      </c>
      <c r="D10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10" s="12">
        <v>0</v>
      </c>
      <c r="F10" s="12">
        <v>0.02</v>
      </c>
      <c r="G10" s="12">
        <f>11/(3330/90)</f>
        <v>0.29729729729729731</v>
      </c>
      <c r="H10" s="11">
        <v>37</v>
      </c>
      <c r="I10" s="11">
        <v>37</v>
      </c>
      <c r="J10" s="11"/>
      <c r="K10" s="11"/>
      <c r="L10" s="11"/>
      <c r="M10" s="11"/>
      <c r="N10" s="11">
        <v>1</v>
      </c>
      <c r="O10" s="11">
        <v>4.5</v>
      </c>
      <c r="P10" s="12">
        <f>BHA_29[[#This Row],[xPoints Av.]]*BHA_29[[#This Row],[Regularity]]</f>
        <v>3.1891891891891895</v>
      </c>
      <c r="Q10" s="11" t="s">
        <v>129</v>
      </c>
    </row>
    <row r="11" spans="1:17" ht="24" x14ac:dyDescent="0.45">
      <c r="A11" s="11" t="s">
        <v>137</v>
      </c>
      <c r="B11" s="11" t="s">
        <v>75</v>
      </c>
      <c r="C11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4.1131930074919731</v>
      </c>
      <c r="D11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0.88235294117647067</v>
      </c>
      <c r="E11" s="12">
        <v>0.25</v>
      </c>
      <c r="F11" s="12">
        <v>0.17</v>
      </c>
      <c r="G11" s="12">
        <f>11/(2803/90)</f>
        <v>0.35319300749197285</v>
      </c>
      <c r="H11" s="11">
        <v>30</v>
      </c>
      <c r="I11" s="11">
        <v>34</v>
      </c>
      <c r="J11" s="11"/>
      <c r="K11" s="11"/>
      <c r="L11" s="11"/>
      <c r="M11" s="11"/>
      <c r="N11" s="11">
        <v>1</v>
      </c>
      <c r="O11" s="11">
        <v>6.5</v>
      </c>
      <c r="P11" s="12">
        <f>BHA_29[[#This Row],[xPoints Av.]]*BHA_29[[#This Row],[Regularity]]</f>
        <v>3.6292879477870357</v>
      </c>
      <c r="Q11" s="11" t="s">
        <v>129</v>
      </c>
    </row>
    <row r="12" spans="1:17" ht="24" x14ac:dyDescent="0.45">
      <c r="A12" s="11" t="s">
        <v>139</v>
      </c>
      <c r="B12" s="11" t="s">
        <v>75</v>
      </c>
      <c r="C1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3.754156419085096</v>
      </c>
      <c r="D1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0.59459459459459463</v>
      </c>
      <c r="E12" s="12">
        <v>0.13</v>
      </c>
      <c r="F12" s="12">
        <v>0.25</v>
      </c>
      <c r="G12" s="12">
        <f>8/(2033/90)</f>
        <v>0.35415641908509593</v>
      </c>
      <c r="H12" s="11">
        <v>22</v>
      </c>
      <c r="I12" s="11">
        <v>37</v>
      </c>
      <c r="J12" s="11"/>
      <c r="K12" s="11"/>
      <c r="L12" s="11"/>
      <c r="M12" s="11"/>
      <c r="N12" s="11">
        <v>1</v>
      </c>
      <c r="O12" s="11">
        <v>5.5</v>
      </c>
      <c r="P12" s="12">
        <f>BHA_29[[#This Row],[xPoints Av.]]*BHA_29[[#This Row],[Regularity]]</f>
        <v>2.2322011140505977</v>
      </c>
      <c r="Q12" s="11" t="s">
        <v>129</v>
      </c>
    </row>
    <row r="13" spans="1:17" ht="24" x14ac:dyDescent="0.45">
      <c r="A13" s="14" t="s">
        <v>138</v>
      </c>
      <c r="B13" s="11" t="s">
        <v>75</v>
      </c>
      <c r="C1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3.9756818181818181</v>
      </c>
      <c r="D1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0.55263157894736847</v>
      </c>
      <c r="E13" s="12">
        <v>0.28999999999999998</v>
      </c>
      <c r="F13" s="12">
        <v>0.09</v>
      </c>
      <c r="G13" s="12">
        <f>6/(2112/90)</f>
        <v>0.25568181818181818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>
        <v>5.5</v>
      </c>
      <c r="P13" s="12">
        <f>BHA_29[[#This Row],[xPoints Av.]]*BHA_29[[#This Row],[Regularity]]</f>
        <v>2.197087320574163</v>
      </c>
      <c r="Q13" s="11" t="s">
        <v>129</v>
      </c>
    </row>
    <row r="14" spans="1:17" ht="24" x14ac:dyDescent="0.45">
      <c r="A14" s="11" t="s">
        <v>143</v>
      </c>
      <c r="B14" s="11" t="s">
        <v>75</v>
      </c>
      <c r="C1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3.4856434474616291</v>
      </c>
      <c r="D1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0.58620689655172409</v>
      </c>
      <c r="E14" s="12">
        <v>0.16</v>
      </c>
      <c r="F14" s="12">
        <v>0.14000000000000001</v>
      </c>
      <c r="G14" s="12">
        <f>5/(1694/90)</f>
        <v>0.26564344746162927</v>
      </c>
      <c r="H14" s="11">
        <v>17</v>
      </c>
      <c r="I14" s="11">
        <v>29</v>
      </c>
      <c r="J14" s="11"/>
      <c r="K14" s="11"/>
      <c r="L14" s="11"/>
      <c r="M14" s="11"/>
      <c r="N14" s="11">
        <v>1</v>
      </c>
      <c r="O14" s="11">
        <v>4.5</v>
      </c>
      <c r="P14" s="12">
        <f>BHA_29[[#This Row],[xPoints Av.]]*BHA_29[[#This Row],[Regularity]]</f>
        <v>2.043308227822334</v>
      </c>
      <c r="Q14" s="11" t="s">
        <v>129</v>
      </c>
    </row>
    <row r="15" spans="1:17" ht="24" x14ac:dyDescent="0.45">
      <c r="A15" s="11" t="s">
        <v>142</v>
      </c>
      <c r="B15" s="11" t="s">
        <v>75</v>
      </c>
      <c r="C1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3.5927272727272728</v>
      </c>
      <c r="D1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0.45</v>
      </c>
      <c r="E15" s="12">
        <v>0.18</v>
      </c>
      <c r="F15" s="12">
        <v>0.14000000000000001</v>
      </c>
      <c r="G15" s="12">
        <f>3/(990/90)</f>
        <v>0.27272727272727271</v>
      </c>
      <c r="H15" s="11">
        <v>9</v>
      </c>
      <c r="I15" s="11">
        <v>20</v>
      </c>
      <c r="J15" s="11"/>
      <c r="K15" s="11"/>
      <c r="L15" s="11"/>
      <c r="M15" s="11"/>
      <c r="N15" s="11">
        <v>1</v>
      </c>
      <c r="O15" s="11">
        <v>5.5</v>
      </c>
      <c r="P15" s="12">
        <f>BHA_29[[#This Row],[xPoints Av.]]*BHA_29[[#This Row],[Regularity]]</f>
        <v>1.6167272727272728</v>
      </c>
      <c r="Q15" s="11" t="s">
        <v>129</v>
      </c>
    </row>
    <row r="16" spans="1:17" ht="24" x14ac:dyDescent="0.45">
      <c r="A16" s="11" t="s">
        <v>141</v>
      </c>
      <c r="B16" s="11" t="s">
        <v>75</v>
      </c>
      <c r="C1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3.2435314483554532</v>
      </c>
      <c r="D1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0.48648648648648651</v>
      </c>
      <c r="E16" s="12">
        <v>0.08</v>
      </c>
      <c r="F16" s="12">
        <v>0.16</v>
      </c>
      <c r="G16" s="12">
        <f>7/(1733/90)</f>
        <v>0.36353144835545298</v>
      </c>
      <c r="H16" s="11">
        <v>18</v>
      </c>
      <c r="I16" s="11">
        <v>37</v>
      </c>
      <c r="J16" s="11"/>
      <c r="K16" s="11"/>
      <c r="L16" s="11"/>
      <c r="M16" s="11"/>
      <c r="N16" s="11">
        <v>1</v>
      </c>
      <c r="O16" s="11">
        <v>5</v>
      </c>
      <c r="P16" s="12">
        <f>BHA_29[[#This Row],[xPoints Av.]]*BHA_29[[#This Row],[Regularity]]</f>
        <v>1.5779342181188691</v>
      </c>
      <c r="Q16" s="11" t="s">
        <v>129</v>
      </c>
    </row>
  </sheetData>
  <dataValidations count="1">
    <dataValidation type="list" allowBlank="1" showInputMessage="1" showErrorMessage="1" sqref="B2:B12 B13:B16" xr:uid="{401CD3A2-EB22-44BB-9BB0-B6C0C57BB587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E60B-2922-4A9F-B687-58CDE40958CF}">
  <dimension ref="A1:M20"/>
  <sheetViews>
    <sheetView workbookViewId="0">
      <selection activeCell="M19" sqref="M19:M20"/>
    </sheetView>
  </sheetViews>
  <sheetFormatPr defaultRowHeight="15" x14ac:dyDescent="0.25"/>
  <cols>
    <col min="1" max="1" width="21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451</v>
      </c>
      <c r="B2" s="11" t="s">
        <v>64</v>
      </c>
      <c r="C2" s="12">
        <f>IF(MAX(GameRecord[GW]) &lt;= 19, BOU_30[[#This Row],[xPoints Av.]] *1, BOU_30[[#This Row],[xPoints Av.]])</f>
        <v>2</v>
      </c>
      <c r="D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" s="12">
        <f>(BOU_30[[#This Row],[60+Mins This Season]]/BOU_30[[#This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4.5</v>
      </c>
      <c r="L2" s="12">
        <f>BOU_30[[#This Row],[xPoints Scaled]]*BOU_30[[#This Row],[Regularity]]</f>
        <v>2</v>
      </c>
      <c r="M2" s="11" t="s">
        <v>24</v>
      </c>
    </row>
    <row r="3" spans="1:13" ht="24" x14ac:dyDescent="0.45">
      <c r="A3" s="11" t="s">
        <v>455</v>
      </c>
      <c r="B3" s="11" t="s">
        <v>64</v>
      </c>
      <c r="C3" s="12">
        <f>IF(MAX(GameRecord[GW]) &lt;= 19, BOU_30[[#This Row],[xPoints Av.]] *1, BOU_30[[#This Row],[xPoints Av.]])</f>
        <v>2</v>
      </c>
      <c r="D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3" s="12">
        <f>(BOU_30[[#This Row],[60+Mins This Season]]/BOU_30[[#This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4.5</v>
      </c>
      <c r="L3" s="12">
        <f>BOU_30[[#This Row],[xPoints Scaled]]*BOU_30[[#This Row],[Regularity]]</f>
        <v>2</v>
      </c>
      <c r="M3" s="11" t="s">
        <v>24</v>
      </c>
    </row>
    <row r="4" spans="1:13" ht="24" x14ac:dyDescent="0.45">
      <c r="A4" s="11" t="s">
        <v>458</v>
      </c>
      <c r="B4" s="11" t="s">
        <v>64</v>
      </c>
      <c r="C4" s="12">
        <f>IF(MAX(GameRecord[GW]) &lt;= 19, BOU_30[[#This Row],[xPoints Av.]] *1, BOU_30[[#This Row],[xPoints Av.]])</f>
        <v>2</v>
      </c>
      <c r="D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4" s="12">
        <f>(BOU_30[[#This Row],[60+Mins This Season]]/BOU_30[[#This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4.5</v>
      </c>
      <c r="L4" s="12">
        <f>BOU_30[[#This Row],[xPoints Scaled]]*BOU_30[[#This Row],[Regularity]]</f>
        <v>2</v>
      </c>
      <c r="M4" s="11" t="s">
        <v>24</v>
      </c>
    </row>
    <row r="5" spans="1:13" ht="24" x14ac:dyDescent="0.45">
      <c r="A5" s="11" t="s">
        <v>460</v>
      </c>
      <c r="B5" s="11" t="s">
        <v>64</v>
      </c>
      <c r="C5" s="12">
        <f>IF(MAX(GameRecord[GW]) &lt;= 19, BOU_30[[#This Row],[xPoints Av.]] *1, BOU_30[[#This Row],[xPoints Av.]])</f>
        <v>2</v>
      </c>
      <c r="D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5" s="12">
        <f>(BOU_30[[#This Row],[60+Mins This Season]]/BOU_30[[#This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4.5</v>
      </c>
      <c r="L5" s="12">
        <f>BOU_30[[#This Row],[xPoints Scaled]]*BOU_30[[#This Row],[Regularity]]</f>
        <v>2</v>
      </c>
      <c r="M5" s="11" t="s">
        <v>24</v>
      </c>
    </row>
    <row r="6" spans="1:13" ht="24" x14ac:dyDescent="0.45">
      <c r="A6" s="11" t="s">
        <v>463</v>
      </c>
      <c r="B6" s="11" t="s">
        <v>64</v>
      </c>
      <c r="C6" s="12">
        <f>IF(MAX(GameRecord[GW]) &lt;= 19, BOU_30[[#This Row],[xPoints Av.]] *1, BOU_30[[#This Row],[xPoints Av.]])</f>
        <v>2</v>
      </c>
      <c r="D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6" s="12">
        <f>(BOU_30[[#This Row],[60+Mins This Season]]/BOU_30[[#This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4.5</v>
      </c>
      <c r="L6" s="12">
        <f>BOU_30[[#This Row],[xPoints Scaled]]*BOU_30[[#This Row],[Regularity]]</f>
        <v>2</v>
      </c>
      <c r="M6" s="11" t="s">
        <v>24</v>
      </c>
    </row>
    <row r="7" spans="1:13" ht="24" x14ac:dyDescent="0.45">
      <c r="A7" s="11" t="s">
        <v>513</v>
      </c>
      <c r="B7" s="11" t="s">
        <v>64</v>
      </c>
      <c r="C7" s="12">
        <f>IF(MAX(GameRecord[GW]) &lt;= 19, BOU_30[[#This Row],[xPoints Av.]] *1, BOU_30[[#This Row],[xPoints Av.]])</f>
        <v>2</v>
      </c>
      <c r="D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7" s="12">
        <f>(BOU_30[[#This Row],[60+Mins This Season]]/BOU_30[[#This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4.5</v>
      </c>
      <c r="L7" s="12">
        <f>BOU_30[[#This Row],[xPoints Scaled]]*BOU_30[[#This Row],[Regularity]]</f>
        <v>2</v>
      </c>
      <c r="M7" s="11" t="s">
        <v>24</v>
      </c>
    </row>
    <row r="8" spans="1:13" ht="24" x14ac:dyDescent="0.45">
      <c r="A8" s="11" t="s">
        <v>449</v>
      </c>
      <c r="B8" s="11" t="s">
        <v>84</v>
      </c>
      <c r="C8" s="12">
        <f>IF(MAX(GameRecord[GW]) &lt;= 19, BOU_30[[#This Row],[xPoints Av.]] *1, BOU_30[[#This Row],[xPoints Av.]])</f>
        <v>2</v>
      </c>
      <c r="D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8" s="12">
        <f>(BOU_30[[#This Row],[60+Mins This Season]]/BOU_30[[#This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6</v>
      </c>
      <c r="L8" s="12">
        <f>BOU_30[[#This Row],[xPoints Scaled]]*BOU_30[[#This Row],[Regularity]]</f>
        <v>2</v>
      </c>
      <c r="M8" s="11" t="s">
        <v>24</v>
      </c>
    </row>
    <row r="9" spans="1:13" ht="24" x14ac:dyDescent="0.45">
      <c r="A9" s="11" t="s">
        <v>521</v>
      </c>
      <c r="B9" s="11" t="s">
        <v>84</v>
      </c>
      <c r="C9" s="12">
        <f>IF(MAX(GameRecord[GW]) &lt;= 19, BOU_30[[#This Row],[xPoints Av.]] *1, BOU_30[[#This Row],[xPoints Av.]])</f>
        <v>2</v>
      </c>
      <c r="D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9" s="12">
        <f>(BOU_30[[#This Row],[60+Mins This Season]]/BOU_30[[#This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5.5</v>
      </c>
      <c r="L9" s="12">
        <f>BOU_30[[#This Row],[xPoints Scaled]]*BOU_30[[#This Row],[Regularity]]</f>
        <v>2</v>
      </c>
      <c r="M9" s="11" t="s">
        <v>24</v>
      </c>
    </row>
    <row r="10" spans="1:13" ht="24" x14ac:dyDescent="0.45">
      <c r="A10" s="11" t="s">
        <v>450</v>
      </c>
      <c r="B10" s="11" t="s">
        <v>62</v>
      </c>
      <c r="C10" s="12">
        <f>IF(MAX(GameRecord[GW]) &lt;= 19, BOU_30[[#This Row],[xPoints Av.]] *1, BOU_30[[#This Row],[xPoints Av.]])</f>
        <v>2</v>
      </c>
      <c r="D1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0" s="12">
        <f>(BOU_30[[#This Row],[60+Mins This Season]]/BOU_30[[#This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4.5</v>
      </c>
      <c r="L10" s="12">
        <f>BOU_30[[#This Row],[xPoints Scaled]]*BOU_30[[#This Row],[Regularity]]</f>
        <v>2</v>
      </c>
      <c r="M10" s="11" t="s">
        <v>24</v>
      </c>
    </row>
    <row r="11" spans="1:13" ht="24" x14ac:dyDescent="0.45">
      <c r="A11" s="11" t="s">
        <v>452</v>
      </c>
      <c r="B11" s="11" t="s">
        <v>75</v>
      </c>
      <c r="C11" s="12">
        <f>IF(MAX(GameRecord[GW]) &lt;= 19, BOU_30[[#This Row],[xPoints Av.]] *1, BOU_30[[#This Row],[xPoints Av.]])</f>
        <v>2</v>
      </c>
      <c r="D11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1" s="12">
        <f>(BOU_30[[#This Row],[60+Mins This Season]]/BOU_30[[#This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5.5</v>
      </c>
      <c r="L11" s="12">
        <f>BOU_30[[#This Row],[xPoints Scaled]]*BOU_30[[#This Row],[Regularity]]</f>
        <v>2</v>
      </c>
      <c r="M11" s="11" t="s">
        <v>24</v>
      </c>
    </row>
    <row r="12" spans="1:13" ht="24" x14ac:dyDescent="0.45">
      <c r="A12" s="11" t="s">
        <v>453</v>
      </c>
      <c r="B12" s="11" t="s">
        <v>75</v>
      </c>
      <c r="C12" s="12">
        <f>IF(MAX(GameRecord[GW]) &lt;= 19, BOU_30[[#This Row],[xPoints Av.]] *1, BOU_30[[#This Row],[xPoints Av.]])</f>
        <v>2</v>
      </c>
      <c r="D1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2" s="12">
        <f>(BOU_30[[#This Row],[60+Mins This Season]]/BOU_30[[#This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5.5</v>
      </c>
      <c r="L12" s="12">
        <f>BOU_30[[#This Row],[xPoints Scaled]]*BOU_30[[#This Row],[Regularity]]</f>
        <v>2</v>
      </c>
      <c r="M12" s="11" t="s">
        <v>24</v>
      </c>
    </row>
    <row r="13" spans="1:13" ht="24" x14ac:dyDescent="0.45">
      <c r="A13" s="11" t="s">
        <v>454</v>
      </c>
      <c r="B13" s="11" t="s">
        <v>75</v>
      </c>
      <c r="C13" s="12">
        <f>IF(MAX(GameRecord[GW]) &lt;= 19, BOU_30[[#This Row],[xPoints Av.]] *1, BOU_30[[#This Row],[xPoints Av.]])</f>
        <v>2</v>
      </c>
      <c r="D1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3" s="12">
        <f>(BOU_30[[#This Row],[60+Mins This Season]]/BOU_30[[#This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5.5</v>
      </c>
      <c r="L13" s="12">
        <f>BOU_30[[#This Row],[xPoints Scaled]]*BOU_30[[#This Row],[Regularity]]</f>
        <v>2</v>
      </c>
      <c r="M13" s="11" t="s">
        <v>24</v>
      </c>
    </row>
    <row r="14" spans="1:13" ht="24" x14ac:dyDescent="0.45">
      <c r="A14" s="11" t="s">
        <v>456</v>
      </c>
      <c r="B14" s="11" t="s">
        <v>75</v>
      </c>
      <c r="C14" s="12">
        <f>IF(MAX(GameRecord[GW]) &lt;= 19, BOU_30[[#This Row],[xPoints Av.]] *1, BOU_30[[#This Row],[xPoints Av.]])</f>
        <v>2</v>
      </c>
      <c r="D1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4" s="12">
        <f>(BOU_30[[#This Row],[60+Mins This Season]]/BOU_30[[#This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5</v>
      </c>
      <c r="L14" s="12">
        <f>BOU_30[[#This Row],[xPoints Scaled]]*BOU_30[[#This Row],[Regularity]]</f>
        <v>2</v>
      </c>
      <c r="M14" s="11" t="s">
        <v>24</v>
      </c>
    </row>
    <row r="15" spans="1:13" ht="24" x14ac:dyDescent="0.45">
      <c r="A15" s="11" t="s">
        <v>457</v>
      </c>
      <c r="B15" s="11" t="s">
        <v>75</v>
      </c>
      <c r="C15" s="12">
        <f>IF(MAX(GameRecord[GW]) &lt;= 19, BOU_30[[#This Row],[xPoints Av.]] *1, BOU_30[[#This Row],[xPoints Av.]])</f>
        <v>2</v>
      </c>
      <c r="D1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5" s="12">
        <f>(BOU_30[[#This Row],[60+Mins This Season]]/BOU_30[[#This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5</v>
      </c>
      <c r="L15" s="12">
        <f>BOU_30[[#This Row],[xPoints Scaled]]*BOU_30[[#This Row],[Regularity]]</f>
        <v>2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BOU_30[[#This Row],[xPoints Av.]] *1, BOU_30[[#This Row],[xPoints Av.]])</f>
        <v>2</v>
      </c>
      <c r="D1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6" s="12">
        <f>(BOU_30[[#This Row],[60+Mins This Season]]/BOU_30[[#This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5.5</v>
      </c>
      <c r="L16" s="12">
        <f>BOU_30[[#This Row],[xPoints Scaled]]*BOU_30[[#This Row],[Regularity]]</f>
        <v>2</v>
      </c>
      <c r="M16" s="11" t="s">
        <v>24</v>
      </c>
    </row>
    <row r="17" spans="1:13" ht="24" x14ac:dyDescent="0.45">
      <c r="A17" s="11" t="s">
        <v>464</v>
      </c>
      <c r="B17" s="11" t="s">
        <v>75</v>
      </c>
      <c r="C17" s="12">
        <f>IF(MAX(GameRecord[GW]) &lt;= 19, BOU_30[[#This Row],[xPoints Av.]] *1, BOU_30[[#This Row],[xPoints Av.]])</f>
        <v>2</v>
      </c>
      <c r="D1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7" s="12">
        <f>(BOU_30[[#This Row],[60+Mins This Season]]/BOU_30[[#This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4.5</v>
      </c>
      <c r="L17" s="12">
        <f>BOU_30[[#This Row],[xPoints Scaled]]*BOU_30[[#This Row],[Regularity]]</f>
        <v>2</v>
      </c>
      <c r="M17" s="11" t="s">
        <v>24</v>
      </c>
    </row>
    <row r="18" spans="1:13" ht="24" x14ac:dyDescent="0.45">
      <c r="A18" s="11" t="s">
        <v>465</v>
      </c>
      <c r="B18" s="11" t="s">
        <v>75</v>
      </c>
      <c r="C18" s="12">
        <f>IF(MAX(GameRecord[GW]) &lt;= 19, BOU_30[[#This Row],[xPoints Av.]] *1, BOU_30[[#This Row],[xPoints Av.]])</f>
        <v>2</v>
      </c>
      <c r="D1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8" s="12">
        <f>(BOU_30[[#This Row],[60+Mins This Season]]/BOU_30[[#This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5</v>
      </c>
      <c r="L18" s="12">
        <f>BOU_30[[#This Row],[xPoints Scaled]]*BOU_30[[#This Row],[Regularity]]</f>
        <v>2</v>
      </c>
      <c r="M18" s="11" t="s">
        <v>24</v>
      </c>
    </row>
    <row r="19" spans="1:13" ht="24" x14ac:dyDescent="0.45">
      <c r="A19" s="11" t="s">
        <v>520</v>
      </c>
      <c r="B19" s="11" t="s">
        <v>75</v>
      </c>
      <c r="C19" s="12">
        <f>IF(MAX(GameRecord[GW]) &lt;= 19, BOU_30[[#This Row],[xPoints Av.]] *1, BOU_30[[#This Row],[xPoints Av.]])</f>
        <v>2</v>
      </c>
      <c r="D1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9" s="12">
        <f>(BOU_30[[#This Row],[60+Mins This Season]]/BOU_30[[#This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5.5</v>
      </c>
      <c r="L19" s="12">
        <f>BOU_30[[#This Row],[xPoints Scaled]]*BOU_30[[#This Row],[Regularity]]</f>
        <v>2</v>
      </c>
      <c r="M19" s="11" t="s">
        <v>24</v>
      </c>
    </row>
    <row r="20" spans="1:13" ht="24" x14ac:dyDescent="0.45">
      <c r="A20" s="11" t="s">
        <v>528</v>
      </c>
      <c r="B20" s="11" t="s">
        <v>75</v>
      </c>
      <c r="C20" s="12">
        <f>IF(MAX(GameRecord[GW]) &lt;= 19, BOU_30[[#This Row],[xPoints Av.]] *1, BOU_30[[#This Row],[xPoints Av.]])</f>
        <v>2</v>
      </c>
      <c r="D2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0" s="12">
        <f>(BOU_30[[#This Row],[60+Mins This Season]]/BOU_30[[#This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5</v>
      </c>
      <c r="L20" s="12">
        <f>BOU_30[[#This Row],[xPoints Scaled]]*BOU_30[[#This Row],[Regularity]]</f>
        <v>2</v>
      </c>
      <c r="M20" s="11" t="s">
        <v>24</v>
      </c>
    </row>
  </sheetData>
  <dataValidations count="1">
    <dataValidation type="list" allowBlank="1" showInputMessage="1" showErrorMessage="1" sqref="B2:B20" xr:uid="{177B7D4B-B3DA-4761-B2E1-0BF2ED84A138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63C8-C7A8-490B-8AD0-9EE641136F63}">
  <dimension ref="A1:Q19"/>
  <sheetViews>
    <sheetView workbookViewId="0">
      <selection activeCell="A20" sqref="A20:XFD20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154</v>
      </c>
      <c r="B2" s="11" t="s">
        <v>64</v>
      </c>
      <c r="C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6.4017375231053606</v>
      </c>
      <c r="D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2" s="12">
        <v>0.22</v>
      </c>
      <c r="F2" s="12">
        <v>0.14000000000000001</v>
      </c>
      <c r="G2" s="12">
        <f>4/(541/90)</f>
        <v>0.6654343807763401</v>
      </c>
      <c r="H2" s="11">
        <v>6</v>
      </c>
      <c r="I2" s="11">
        <v>6</v>
      </c>
      <c r="J2" s="11"/>
      <c r="K2" s="11"/>
      <c r="L2" s="11"/>
      <c r="M2" s="11"/>
      <c r="N2" s="11">
        <v>1</v>
      </c>
      <c r="O2" s="11">
        <v>6</v>
      </c>
      <c r="P2" s="12">
        <f>CHE_31[[#This Row],[xPoints Av.]]*CHE_31[[#This Row],[Regularity]]</f>
        <v>6.4017375231053606</v>
      </c>
      <c r="Q2" s="11" t="s">
        <v>9</v>
      </c>
    </row>
    <row r="3" spans="1:17" ht="24" x14ac:dyDescent="0.45">
      <c r="A3" s="11" t="s">
        <v>148</v>
      </c>
      <c r="B3" s="11" t="s">
        <v>64</v>
      </c>
      <c r="C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5.0926570048309179</v>
      </c>
      <c r="D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</v>
      </c>
      <c r="E3" s="12">
        <v>0.12</v>
      </c>
      <c r="F3" s="12">
        <v>0.34</v>
      </c>
      <c r="G3" s="12">
        <f>7/(1863/90)</f>
        <v>0.33816425120772947</v>
      </c>
      <c r="H3" s="11">
        <v>19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CHE_31[[#This Row],[xPoints Av.]]*CHE_31[[#This Row],[Regularity]]</f>
        <v>3.8704193236714977</v>
      </c>
      <c r="Q3" s="11" t="s">
        <v>9</v>
      </c>
    </row>
    <row r="4" spans="1:17" ht="24" x14ac:dyDescent="0.45">
      <c r="A4" s="11" t="s">
        <v>150</v>
      </c>
      <c r="B4" s="11" t="s">
        <v>64</v>
      </c>
      <c r="C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4.9672273567467657</v>
      </c>
      <c r="D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0.68571428571428572</v>
      </c>
      <c r="E4" s="12">
        <v>0.14000000000000001</v>
      </c>
      <c r="F4" s="12">
        <v>0.21</v>
      </c>
      <c r="G4" s="12">
        <f>9/(2164/90)</f>
        <v>0.37430683918669133</v>
      </c>
      <c r="H4" s="11">
        <v>24</v>
      </c>
      <c r="I4" s="11">
        <v>35</v>
      </c>
      <c r="J4" s="11"/>
      <c r="K4" s="11"/>
      <c r="L4" s="11"/>
      <c r="M4" s="11"/>
      <c r="N4" s="11">
        <v>1</v>
      </c>
      <c r="O4" s="11">
        <v>5.5</v>
      </c>
      <c r="P4" s="12">
        <f>CHE_31[[#This Row],[xPoints Av.]]*CHE_31[[#This Row],[Regularity]]</f>
        <v>3.4060987589120679</v>
      </c>
      <c r="Q4" s="11" t="s">
        <v>9</v>
      </c>
    </row>
    <row r="5" spans="1:17" ht="24" x14ac:dyDescent="0.45">
      <c r="A5" s="11" t="s">
        <v>149</v>
      </c>
      <c r="B5" s="11" t="s">
        <v>64</v>
      </c>
      <c r="C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3.7649037372593432</v>
      </c>
      <c r="D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0.82352941176470584</v>
      </c>
      <c r="E5" s="12">
        <v>0.04</v>
      </c>
      <c r="F5" s="12">
        <v>0.01</v>
      </c>
      <c r="G5" s="12">
        <f>11/(2649/90)</f>
        <v>0.37372593431483581</v>
      </c>
      <c r="H5" s="11">
        <v>28</v>
      </c>
      <c r="I5" s="11">
        <v>34</v>
      </c>
      <c r="J5" s="11"/>
      <c r="K5" s="11"/>
      <c r="L5" s="11"/>
      <c r="M5" s="11"/>
      <c r="N5" s="11">
        <v>1</v>
      </c>
      <c r="O5" s="11">
        <v>5.5</v>
      </c>
      <c r="P5" s="12">
        <f>CHE_31[[#This Row],[xPoints Av.]]*CHE_31[[#This Row],[Regularity]]</f>
        <v>3.1005089600959295</v>
      </c>
      <c r="Q5" s="11" t="s">
        <v>9</v>
      </c>
    </row>
    <row r="6" spans="1:17" ht="24" x14ac:dyDescent="0.45">
      <c r="A6" s="11" t="s">
        <v>152</v>
      </c>
      <c r="B6" s="11" t="s">
        <v>64</v>
      </c>
      <c r="C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3.7891582002902759</v>
      </c>
      <c r="D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0.71875</v>
      </c>
      <c r="E6" s="12">
        <v>0.05</v>
      </c>
      <c r="F6" s="12">
        <v>0.09</v>
      </c>
      <c r="G6" s="12">
        <f>7/(2067/90)</f>
        <v>0.30478955007256897</v>
      </c>
      <c r="H6" s="11">
        <v>23</v>
      </c>
      <c r="I6" s="11">
        <v>32</v>
      </c>
      <c r="J6" s="11"/>
      <c r="K6" s="11"/>
      <c r="L6" s="11"/>
      <c r="M6" s="11"/>
      <c r="N6" s="11">
        <v>1</v>
      </c>
      <c r="O6" s="11">
        <v>5</v>
      </c>
      <c r="P6" s="12">
        <f>CHE_31[[#This Row],[xPoints Av.]]*CHE_31[[#This Row],[Regularity]]</f>
        <v>2.723457456458636</v>
      </c>
      <c r="Q6" s="11" t="s">
        <v>9</v>
      </c>
    </row>
    <row r="7" spans="1:17" ht="24" x14ac:dyDescent="0.45">
      <c r="A7" s="11" t="s">
        <v>151</v>
      </c>
      <c r="B7" s="11" t="s">
        <v>64</v>
      </c>
      <c r="C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4.7191154111955766</v>
      </c>
      <c r="D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0.45161290322580644</v>
      </c>
      <c r="E7" s="12">
        <v>7.0000000000000007E-2</v>
      </c>
      <c r="F7" s="12">
        <v>0.02</v>
      </c>
      <c r="G7" s="12">
        <f>9/(1447/90)</f>
        <v>0.55977885279889417</v>
      </c>
      <c r="H7" s="11">
        <v>14</v>
      </c>
      <c r="I7" s="11">
        <v>31</v>
      </c>
      <c r="J7" s="11"/>
      <c r="K7" s="11"/>
      <c r="L7" s="11"/>
      <c r="M7" s="11"/>
      <c r="N7" s="11">
        <v>1</v>
      </c>
      <c r="O7" s="11">
        <v>5</v>
      </c>
      <c r="P7" s="12">
        <f>CHE_31[[#This Row],[xPoints Av.]]*CHE_31[[#This Row],[Regularity]]</f>
        <v>2.1312134115076797</v>
      </c>
      <c r="Q7" s="11" t="s">
        <v>9</v>
      </c>
    </row>
    <row r="8" spans="1:17" ht="24" x14ac:dyDescent="0.45">
      <c r="A8" s="11" t="s">
        <v>190</v>
      </c>
      <c r="B8" s="11" t="s">
        <v>84</v>
      </c>
      <c r="C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3.7800000000000002</v>
      </c>
      <c r="D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0.55555555555555558</v>
      </c>
      <c r="E8" s="12">
        <v>0.43</v>
      </c>
      <c r="F8" s="12">
        <v>0.02</v>
      </c>
      <c r="G8" s="12">
        <v>0.35211267605633806</v>
      </c>
      <c r="H8" s="18">
        <v>15</v>
      </c>
      <c r="I8" s="18">
        <v>27</v>
      </c>
      <c r="J8" s="11"/>
      <c r="K8" s="11"/>
      <c r="L8" s="11"/>
      <c r="M8" s="11"/>
      <c r="N8" s="11">
        <v>1</v>
      </c>
      <c r="O8" s="11">
        <v>8</v>
      </c>
      <c r="P8" s="12">
        <f>CHE_31[[#This Row],[xPoints Av.]]*CHE_31[[#This Row],[Regularity]]</f>
        <v>2.1</v>
      </c>
      <c r="Q8" s="11" t="s">
        <v>9</v>
      </c>
    </row>
    <row r="9" spans="1:17" ht="24" x14ac:dyDescent="0.45">
      <c r="A9" s="11" t="s">
        <v>147</v>
      </c>
      <c r="B9" s="11" t="s">
        <v>62</v>
      </c>
      <c r="C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3.6470588235294117</v>
      </c>
      <c r="D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9" s="12">
        <v>0</v>
      </c>
      <c r="F9" s="12">
        <v>0</v>
      </c>
      <c r="G9" s="12">
        <f>14/(3060/90)</f>
        <v>0.41176470588235292</v>
      </c>
      <c r="H9" s="11">
        <v>34</v>
      </c>
      <c r="I9" s="11">
        <v>34</v>
      </c>
      <c r="J9" s="11"/>
      <c r="K9" s="11"/>
      <c r="L9" s="11"/>
      <c r="M9" s="11"/>
      <c r="N9" s="11">
        <v>1</v>
      </c>
      <c r="O9" s="11">
        <v>5</v>
      </c>
      <c r="P9" s="12">
        <f>CHE_31[[#This Row],[xPoints Av.]]*CHE_31[[#This Row],[Regularity]]</f>
        <v>3.6470588235294117</v>
      </c>
      <c r="Q9" s="11" t="s">
        <v>9</v>
      </c>
    </row>
    <row r="10" spans="1:17" ht="24" x14ac:dyDescent="0.45">
      <c r="A10" s="11" t="s">
        <v>155</v>
      </c>
      <c r="B10" s="11" t="s">
        <v>75</v>
      </c>
      <c r="C1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4.8298473282442753</v>
      </c>
      <c r="D1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0.76470588235294112</v>
      </c>
      <c r="E10" s="12">
        <v>0.32</v>
      </c>
      <c r="F10" s="12">
        <v>0.27</v>
      </c>
      <c r="G10" s="12">
        <f>11/(2358/90)</f>
        <v>0.41984732824427484</v>
      </c>
      <c r="H10" s="11">
        <v>26</v>
      </c>
      <c r="I10" s="11">
        <v>34</v>
      </c>
      <c r="J10" s="11"/>
      <c r="K10" s="11"/>
      <c r="L10" s="11"/>
      <c r="M10" s="11"/>
      <c r="N10" s="11">
        <v>1</v>
      </c>
      <c r="O10" s="11">
        <v>8</v>
      </c>
      <c r="P10" s="12">
        <f>CHE_31[[#This Row],[xPoints Av.]]*CHE_31[[#This Row],[Regularity]]</f>
        <v>3.6934126627750339</v>
      </c>
      <c r="Q10" s="11" t="s">
        <v>9</v>
      </c>
    </row>
    <row r="11" spans="1:17" ht="24" x14ac:dyDescent="0.45">
      <c r="A11" s="11" t="s">
        <v>156</v>
      </c>
      <c r="B11" s="11" t="s">
        <v>84</v>
      </c>
      <c r="C11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4.51</v>
      </c>
      <c r="D11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0.55882352941176472</v>
      </c>
      <c r="E11" s="12">
        <v>0.53</v>
      </c>
      <c r="F11" s="12">
        <v>0.13</v>
      </c>
      <c r="G11" s="12">
        <f>10/(1802/90)</f>
        <v>0.49944506104328523</v>
      </c>
      <c r="H11" s="11">
        <v>19</v>
      </c>
      <c r="I11" s="11">
        <v>34</v>
      </c>
      <c r="J11" s="11"/>
      <c r="K11" s="11"/>
      <c r="L11" s="11"/>
      <c r="M11" s="11"/>
      <c r="N11" s="11">
        <v>1</v>
      </c>
      <c r="O11" s="11">
        <v>8</v>
      </c>
      <c r="P11" s="12">
        <f>CHE_31[[#This Row],[xPoints Av.]]*CHE_31[[#This Row],[Regularity]]</f>
        <v>2.5202941176470586</v>
      </c>
      <c r="Q11" s="11" t="s">
        <v>9</v>
      </c>
    </row>
    <row r="12" spans="1:17" ht="24" x14ac:dyDescent="0.45">
      <c r="A12" s="11" t="s">
        <v>185</v>
      </c>
      <c r="B12" s="11" t="s">
        <v>75</v>
      </c>
      <c r="C1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4.8412168486739464</v>
      </c>
      <c r="D1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0.59090909090909094</v>
      </c>
      <c r="E12" s="12">
        <v>0.43</v>
      </c>
      <c r="F12" s="12">
        <v>0.09</v>
      </c>
      <c r="G12" s="12">
        <v>0.42121684867394699</v>
      </c>
      <c r="H12" s="11">
        <v>13</v>
      </c>
      <c r="I12" s="11">
        <v>22</v>
      </c>
      <c r="J12" s="11"/>
      <c r="K12" s="11"/>
      <c r="L12" s="11"/>
      <c r="M12" s="11"/>
      <c r="N12" s="11">
        <v>1</v>
      </c>
      <c r="O12" s="11">
        <v>6</v>
      </c>
      <c r="P12" s="12">
        <f>CHE_31[[#This Row],[xPoints Av.]]*CHE_31[[#This Row],[Regularity]]</f>
        <v>2.8607190469436956</v>
      </c>
      <c r="Q12" s="11" t="s">
        <v>9</v>
      </c>
    </row>
    <row r="13" spans="1:17" ht="24" x14ac:dyDescent="0.45">
      <c r="A13" s="11" t="s">
        <v>183</v>
      </c>
      <c r="B13" s="11" t="s">
        <v>75</v>
      </c>
      <c r="C1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3.237885811192764</v>
      </c>
      <c r="D1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0.86363636363636365</v>
      </c>
      <c r="E13" s="12">
        <v>0.09</v>
      </c>
      <c r="F13" s="12">
        <v>0.11</v>
      </c>
      <c r="G13" s="12">
        <v>0.45788581119276428</v>
      </c>
      <c r="H13" s="11">
        <v>19</v>
      </c>
      <c r="I13" s="11">
        <v>22</v>
      </c>
      <c r="J13" s="11"/>
      <c r="K13" s="11"/>
      <c r="L13" s="11"/>
      <c r="M13" s="11"/>
      <c r="N13" s="11">
        <v>1</v>
      </c>
      <c r="O13" s="11">
        <v>5</v>
      </c>
      <c r="P13" s="12">
        <f>CHE_31[[#This Row],[xPoints Av.]]*CHE_31[[#This Row],[Regularity]]</f>
        <v>2.7963559278482961</v>
      </c>
      <c r="Q13" s="11" t="s">
        <v>9</v>
      </c>
    </row>
    <row r="14" spans="1:17" ht="24" x14ac:dyDescent="0.45">
      <c r="A14" s="11" t="s">
        <v>180</v>
      </c>
      <c r="B14" s="11" t="s">
        <v>75</v>
      </c>
      <c r="C1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3.9555614266842802</v>
      </c>
      <c r="D1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0.69444444444444442</v>
      </c>
      <c r="E14" s="12">
        <v>0.23</v>
      </c>
      <c r="F14" s="12">
        <v>0.11</v>
      </c>
      <c r="G14" s="12">
        <v>0.47556142668428003</v>
      </c>
      <c r="H14" s="11">
        <v>25</v>
      </c>
      <c r="I14" s="11">
        <v>36</v>
      </c>
      <c r="J14" s="11"/>
      <c r="K14" s="11"/>
      <c r="L14" s="11"/>
      <c r="M14" s="11"/>
      <c r="N14" s="11">
        <v>1</v>
      </c>
      <c r="O14" s="11">
        <v>6</v>
      </c>
      <c r="P14" s="12">
        <f>CHE_31[[#This Row],[xPoints Av.]]*CHE_31[[#This Row],[Regularity]]</f>
        <v>2.746917657419639</v>
      </c>
      <c r="Q14" s="11" t="s">
        <v>9</v>
      </c>
    </row>
    <row r="15" spans="1:17" ht="24" x14ac:dyDescent="0.45">
      <c r="A15" s="11" t="s">
        <v>186</v>
      </c>
      <c r="B15" s="11" t="s">
        <v>75</v>
      </c>
      <c r="C1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3.6839175257731958</v>
      </c>
      <c r="D1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0.65217391304347827</v>
      </c>
      <c r="E15" s="12">
        <v>0.1</v>
      </c>
      <c r="F15" s="12">
        <v>0.24</v>
      </c>
      <c r="G15" s="12">
        <v>0.46391752577319589</v>
      </c>
      <c r="H15" s="11">
        <v>15</v>
      </c>
      <c r="I15" s="11">
        <v>23</v>
      </c>
      <c r="J15" s="11"/>
      <c r="K15" s="11"/>
      <c r="L15" s="11"/>
      <c r="M15" s="11"/>
      <c r="N15" s="11">
        <v>1</v>
      </c>
      <c r="O15" s="11">
        <v>5</v>
      </c>
      <c r="P15" s="12">
        <f>CHE_31[[#This Row],[xPoints Av.]]*CHE_31[[#This Row],[Regularity]]</f>
        <v>2.4025549081129536</v>
      </c>
      <c r="Q15" s="11" t="s">
        <v>9</v>
      </c>
    </row>
    <row r="16" spans="1:17" ht="24" x14ac:dyDescent="0.45">
      <c r="A16" s="13" t="s">
        <v>188</v>
      </c>
      <c r="B16" s="11" t="s">
        <v>75</v>
      </c>
      <c r="C1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4.5836743215031319</v>
      </c>
      <c r="D1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0.45833333333333326</v>
      </c>
      <c r="E16" s="12">
        <v>0.26</v>
      </c>
      <c r="F16" s="12">
        <v>0.24</v>
      </c>
      <c r="G16" s="12">
        <v>0.56367432150313157</v>
      </c>
      <c r="H16" s="18">
        <v>11</v>
      </c>
      <c r="I16" s="18">
        <v>24</v>
      </c>
      <c r="J16" s="11"/>
      <c r="K16" s="11"/>
      <c r="L16" s="11"/>
      <c r="M16" s="11"/>
      <c r="N16" s="11">
        <v>1</v>
      </c>
      <c r="O16" s="11">
        <v>5.5</v>
      </c>
      <c r="P16" s="12">
        <f>CHE_31[[#This Row],[xPoints Av.]]*CHE_31[[#This Row],[Regularity]]</f>
        <v>2.100850730688935</v>
      </c>
      <c r="Q16" s="11" t="s">
        <v>9</v>
      </c>
    </row>
    <row r="17" spans="1:17" ht="24" x14ac:dyDescent="0.45">
      <c r="A17" s="11" t="s">
        <v>184</v>
      </c>
      <c r="B17" s="11" t="s">
        <v>75</v>
      </c>
      <c r="C1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4.3405491990846681</v>
      </c>
      <c r="D1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0.41176470588235292</v>
      </c>
      <c r="E17" s="12">
        <v>0.21</v>
      </c>
      <c r="F17" s="12">
        <v>0.27</v>
      </c>
      <c r="G17" s="12">
        <v>0.4805491990846682</v>
      </c>
      <c r="H17" s="11">
        <v>14</v>
      </c>
      <c r="I17" s="11">
        <v>34</v>
      </c>
      <c r="J17" s="11"/>
      <c r="K17" s="11"/>
      <c r="L17" s="11"/>
      <c r="M17" s="11"/>
      <c r="N17" s="11">
        <v>1</v>
      </c>
      <c r="O17" s="11">
        <v>6</v>
      </c>
      <c r="P17" s="12">
        <f>CHE_31[[#This Row],[xPoints Av.]]*CHE_31[[#This Row],[Regularity]]</f>
        <v>1.787284964328981</v>
      </c>
      <c r="Q17" s="11" t="s">
        <v>9</v>
      </c>
    </row>
    <row r="18" spans="1:17" ht="24" x14ac:dyDescent="0.45">
      <c r="A18" s="13" t="s">
        <v>187</v>
      </c>
      <c r="B18" s="11" t="s">
        <v>75</v>
      </c>
      <c r="C1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3.1351445086705203</v>
      </c>
      <c r="D1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0.4333333333333334</v>
      </c>
      <c r="E18" s="12">
        <v>0.06</v>
      </c>
      <c r="F18" s="12">
        <v>0.17</v>
      </c>
      <c r="G18" s="12">
        <v>0.32514450867052025</v>
      </c>
      <c r="H18" s="11">
        <v>13</v>
      </c>
      <c r="I18" s="11">
        <v>30</v>
      </c>
      <c r="J18" s="11"/>
      <c r="K18" s="11"/>
      <c r="L18" s="11"/>
      <c r="M18" s="11"/>
      <c r="N18" s="11">
        <v>1</v>
      </c>
      <c r="O18" s="11">
        <v>5</v>
      </c>
      <c r="P18" s="12">
        <f>CHE_31[[#This Row],[xPoints Av.]]*CHE_31[[#This Row],[Regularity]]</f>
        <v>1.3585626204238923</v>
      </c>
      <c r="Q18" s="11" t="s">
        <v>9</v>
      </c>
    </row>
    <row r="19" spans="1:17" ht="24" x14ac:dyDescent="0.45">
      <c r="A19" s="11" t="s">
        <v>200</v>
      </c>
      <c r="B19" s="11" t="s">
        <v>75</v>
      </c>
      <c r="C1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3.9382237073513893</v>
      </c>
      <c r="D1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0.86111111111111105</v>
      </c>
      <c r="E19" s="12">
        <v>0.24</v>
      </c>
      <c r="F19" s="12">
        <v>0.13</v>
      </c>
      <c r="G19" s="12">
        <v>0.34822370735138936</v>
      </c>
      <c r="H19" s="11">
        <v>31</v>
      </c>
      <c r="I19" s="11">
        <v>36</v>
      </c>
      <c r="J19" s="11"/>
      <c r="K19" s="11"/>
      <c r="L19" s="11"/>
      <c r="M19" s="11"/>
      <c r="N19" s="11">
        <v>1</v>
      </c>
      <c r="O19" s="11">
        <v>6</v>
      </c>
      <c r="P19" s="12">
        <f>CHE_31[[#This Row],[xPoints Av.]]*CHE_31[[#This Row],[Regularity]]</f>
        <v>3.3912481924414739</v>
      </c>
      <c r="Q19" s="11" t="s">
        <v>9</v>
      </c>
    </row>
  </sheetData>
  <dataValidations count="1">
    <dataValidation type="list" allowBlank="1" showInputMessage="1" showErrorMessage="1" sqref="B2:B19" xr:uid="{506D39A5-91ED-43F9-8AE6-187F34569991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90D5-AFD3-4E08-AF3B-1FE7369D5380}">
  <dimension ref="A1:Q15"/>
  <sheetViews>
    <sheetView workbookViewId="0">
      <selection activeCell="O15" sqref="O15"/>
    </sheetView>
  </sheetViews>
  <sheetFormatPr defaultRowHeight="15" x14ac:dyDescent="0.25"/>
  <cols>
    <col min="1" max="1" width="20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194</v>
      </c>
      <c r="B2" s="11" t="s">
        <v>64</v>
      </c>
      <c r="C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3.739050279329609</v>
      </c>
      <c r="D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0.94736842105263153</v>
      </c>
      <c r="E2" s="12">
        <v>7.0000000000000007E-2</v>
      </c>
      <c r="F2" s="12">
        <v>0.03</v>
      </c>
      <c r="G2" s="12">
        <v>0.30726256983240224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4.5</v>
      </c>
      <c r="P2" s="12">
        <f>CRY_32[[#This Row],[xPoints Av.]]*CRY_32[[#This Row],[Regularity]]</f>
        <v>3.5422581593648927</v>
      </c>
      <c r="Q2" s="11" t="s">
        <v>17</v>
      </c>
    </row>
    <row r="3" spans="1:17" ht="24" x14ac:dyDescent="0.45">
      <c r="A3" s="11" t="s">
        <v>193</v>
      </c>
      <c r="B3" s="11" t="s">
        <v>64</v>
      </c>
      <c r="C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3.6624982841455043</v>
      </c>
      <c r="D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0.84210526315789469</v>
      </c>
      <c r="E3" s="12">
        <v>0.01</v>
      </c>
      <c r="F3" s="12">
        <v>0.04</v>
      </c>
      <c r="G3" s="12">
        <v>0.37062457103637608</v>
      </c>
      <c r="H3" s="11">
        <v>32</v>
      </c>
      <c r="I3" s="11">
        <v>38</v>
      </c>
      <c r="J3" s="11"/>
      <c r="K3" s="11"/>
      <c r="L3" s="11"/>
      <c r="M3" s="11"/>
      <c r="N3" s="11">
        <v>1</v>
      </c>
      <c r="O3" s="11">
        <v>4.5</v>
      </c>
      <c r="P3" s="12">
        <f>CRY_32[[#This Row],[xPoints Av.]]*CRY_32[[#This Row],[Regularity]]</f>
        <v>3.0842090813856875</v>
      </c>
      <c r="Q3" s="11" t="s">
        <v>17</v>
      </c>
    </row>
    <row r="4" spans="1:17" ht="24" x14ac:dyDescent="0.45">
      <c r="A4" s="11" t="s">
        <v>195</v>
      </c>
      <c r="B4" s="11" t="s">
        <v>64</v>
      </c>
      <c r="C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3.4009158336020637</v>
      </c>
      <c r="D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0.89473684210526316</v>
      </c>
      <c r="E4" s="12">
        <v>0.01</v>
      </c>
      <c r="F4" s="12">
        <v>0.06</v>
      </c>
      <c r="G4" s="12">
        <v>0.29022895840051594</v>
      </c>
      <c r="H4" s="11">
        <v>34</v>
      </c>
      <c r="I4" s="11">
        <v>38</v>
      </c>
      <c r="J4" s="11"/>
      <c r="K4" s="11"/>
      <c r="L4" s="11"/>
      <c r="M4" s="11"/>
      <c r="N4" s="11">
        <v>1</v>
      </c>
      <c r="O4" s="11">
        <v>4.5</v>
      </c>
      <c r="P4" s="12">
        <f>CRY_32[[#This Row],[xPoints Av.]]*CRY_32[[#This Row],[Regularity]]</f>
        <v>3.0429246932228993</v>
      </c>
      <c r="Q4" s="11" t="s">
        <v>17</v>
      </c>
    </row>
    <row r="5" spans="1:17" ht="24" x14ac:dyDescent="0.45">
      <c r="A5" s="11" t="s">
        <v>197</v>
      </c>
      <c r="B5" s="11" t="s">
        <v>64</v>
      </c>
      <c r="C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3.3932984714400645</v>
      </c>
      <c r="D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0.71052631578947367</v>
      </c>
      <c r="E5" s="12">
        <v>0.01</v>
      </c>
      <c r="F5" s="12">
        <v>0.01</v>
      </c>
      <c r="G5" s="12">
        <v>0.3258246178600161</v>
      </c>
      <c r="H5" s="11">
        <v>27</v>
      </c>
      <c r="I5" s="11">
        <v>38</v>
      </c>
      <c r="J5" s="11"/>
      <c r="K5" s="11"/>
      <c r="L5" s="11"/>
      <c r="M5" s="11"/>
      <c r="N5" s="11">
        <v>1</v>
      </c>
      <c r="O5" s="11">
        <v>4.5</v>
      </c>
      <c r="P5" s="12">
        <f>CRY_32[[#This Row],[xPoints Av.]]*CRY_32[[#This Row],[Regularity]]</f>
        <v>2.4110278612863616</v>
      </c>
      <c r="Q5" s="11" t="s">
        <v>17</v>
      </c>
    </row>
    <row r="6" spans="1:17" ht="24" x14ac:dyDescent="0.45">
      <c r="A6" s="11" t="s">
        <v>198</v>
      </c>
      <c r="B6" s="11" t="s">
        <v>64</v>
      </c>
      <c r="C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3.6588156920799406</v>
      </c>
      <c r="D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6" s="12">
        <v>0</v>
      </c>
      <c r="F6" s="12">
        <v>0.02</v>
      </c>
      <c r="G6" s="12">
        <v>0.3997039230199852</v>
      </c>
      <c r="H6" s="11">
        <v>15</v>
      </c>
      <c r="I6" s="11">
        <v>38</v>
      </c>
      <c r="J6" s="11"/>
      <c r="K6" s="11"/>
      <c r="L6" s="11"/>
      <c r="M6" s="11"/>
      <c r="N6" s="11">
        <v>1</v>
      </c>
      <c r="O6" s="11">
        <v>4.5</v>
      </c>
      <c r="P6" s="12">
        <f>CRY_32[[#This Row],[xPoints Av.]]*CRY_32[[#This Row],[Regularity]]</f>
        <v>1.4442693521368186</v>
      </c>
      <c r="Q6" s="11" t="s">
        <v>17</v>
      </c>
    </row>
    <row r="7" spans="1:17" ht="24" x14ac:dyDescent="0.45">
      <c r="A7" s="11" t="s">
        <v>204</v>
      </c>
      <c r="B7" s="11" t="s">
        <v>84</v>
      </c>
      <c r="C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3.84</v>
      </c>
      <c r="D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0.55882352941176472</v>
      </c>
      <c r="E7" s="12">
        <v>0.37</v>
      </c>
      <c r="F7" s="12">
        <v>0.12</v>
      </c>
      <c r="G7" s="12">
        <v>0.31380753138075312</v>
      </c>
      <c r="H7" s="11">
        <v>19</v>
      </c>
      <c r="I7" s="11">
        <v>34</v>
      </c>
      <c r="J7" s="11"/>
      <c r="K7" s="11"/>
      <c r="L7" s="11"/>
      <c r="M7" s="11"/>
      <c r="N7" s="11">
        <v>1</v>
      </c>
      <c r="O7" s="11">
        <v>5.5</v>
      </c>
      <c r="P7" s="12">
        <f>CRY_32[[#This Row],[xPoints Av.]]*CRY_32[[#This Row],[Regularity]]</f>
        <v>2.1458823529411766</v>
      </c>
      <c r="Q7" s="11" t="s">
        <v>17</v>
      </c>
    </row>
    <row r="8" spans="1:17" ht="24" x14ac:dyDescent="0.45">
      <c r="A8" s="11" t="s">
        <v>205</v>
      </c>
      <c r="B8" s="11" t="s">
        <v>75</v>
      </c>
      <c r="C8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3.7425844930417496</v>
      </c>
      <c r="D8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8" s="12">
        <v>0.19</v>
      </c>
      <c r="F8" s="12">
        <v>0.13</v>
      </c>
      <c r="G8" s="12">
        <v>0.40258449304174954</v>
      </c>
      <c r="H8" s="11">
        <v>21</v>
      </c>
      <c r="I8" s="11">
        <v>38</v>
      </c>
      <c r="J8" s="11"/>
      <c r="K8" s="11"/>
      <c r="L8" s="11"/>
      <c r="M8" s="11"/>
      <c r="N8" s="11">
        <v>1</v>
      </c>
      <c r="O8" s="11">
        <v>5.5</v>
      </c>
      <c r="P8" s="12">
        <f>CRY_32[[#This Row],[xPoints Av.]]*CRY_32[[#This Row],[Regularity]]</f>
        <v>2.0682703777335987</v>
      </c>
      <c r="Q8" s="11" t="s">
        <v>17</v>
      </c>
    </row>
    <row r="9" spans="1:17" ht="24" x14ac:dyDescent="0.45">
      <c r="A9" s="11" t="s">
        <v>206</v>
      </c>
      <c r="B9" s="11" t="s">
        <v>84</v>
      </c>
      <c r="C9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3.9000000000000004</v>
      </c>
      <c r="D9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0.31578947368421051</v>
      </c>
      <c r="E9" s="12">
        <v>0.46</v>
      </c>
      <c r="F9" s="12">
        <v>0.02</v>
      </c>
      <c r="G9" s="12">
        <v>0.39543057996485065</v>
      </c>
      <c r="H9" s="11">
        <v>12</v>
      </c>
      <c r="I9" s="11">
        <v>38</v>
      </c>
      <c r="J9" s="11"/>
      <c r="K9" s="11"/>
      <c r="L9" s="11"/>
      <c r="M9" s="11"/>
      <c r="N9" s="11">
        <v>1</v>
      </c>
      <c r="O9" s="11">
        <v>5.5</v>
      </c>
      <c r="P9" s="12">
        <f>CRY_32[[#This Row],[xPoints Av.]]*CRY_32[[#This Row],[Regularity]]</f>
        <v>1.2315789473684211</v>
      </c>
      <c r="Q9" s="11" t="s">
        <v>17</v>
      </c>
    </row>
    <row r="10" spans="1:17" ht="24" x14ac:dyDescent="0.45">
      <c r="A10" s="11" t="s">
        <v>207</v>
      </c>
      <c r="B10" s="11" t="s">
        <v>84</v>
      </c>
      <c r="C10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3.91</v>
      </c>
      <c r="D10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0.28947368421052633</v>
      </c>
      <c r="E10" s="12">
        <v>0.38</v>
      </c>
      <c r="F10" s="12">
        <v>0.13</v>
      </c>
      <c r="G10" s="12">
        <v>0.31802120141342755</v>
      </c>
      <c r="H10" s="11">
        <v>11</v>
      </c>
      <c r="I10" s="11">
        <v>38</v>
      </c>
      <c r="J10" s="11"/>
      <c r="K10" s="11"/>
      <c r="L10" s="11"/>
      <c r="M10" s="11"/>
      <c r="N10" s="11">
        <v>1</v>
      </c>
      <c r="O10" s="11">
        <v>5.5</v>
      </c>
      <c r="P10" s="12">
        <f>CRY_32[[#This Row],[xPoints Av.]]*CRY_32[[#This Row],[Regularity]]</f>
        <v>1.131842105263158</v>
      </c>
      <c r="Q10" s="11" t="s">
        <v>17</v>
      </c>
    </row>
    <row r="11" spans="1:17" ht="24" x14ac:dyDescent="0.45">
      <c r="A11" s="11" t="s">
        <v>192</v>
      </c>
      <c r="B11" s="11" t="s">
        <v>62</v>
      </c>
      <c r="C11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3.4915254237288136</v>
      </c>
      <c r="D11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0.76315789473684215</v>
      </c>
      <c r="E11" s="12">
        <v>0</v>
      </c>
      <c r="F11" s="12">
        <v>0</v>
      </c>
      <c r="G11" s="12">
        <v>0.3728813559322034</v>
      </c>
      <c r="H11" s="11">
        <v>29</v>
      </c>
      <c r="I11" s="11">
        <v>38</v>
      </c>
      <c r="J11" s="11"/>
      <c r="K11" s="11"/>
      <c r="L11" s="11"/>
      <c r="M11" s="11"/>
      <c r="N11" s="11">
        <v>1</v>
      </c>
      <c r="O11" s="11">
        <v>4.5</v>
      </c>
      <c r="P11" s="12">
        <f>CRY_32[[#This Row],[xPoints Av.]]*CRY_32[[#This Row],[Regularity]]</f>
        <v>2.6645851917930421</v>
      </c>
      <c r="Q11" s="11" t="s">
        <v>17</v>
      </c>
    </row>
    <row r="12" spans="1:17" ht="24" x14ac:dyDescent="0.45">
      <c r="A12" s="11" t="s">
        <v>199</v>
      </c>
      <c r="B12" s="11" t="s">
        <v>75</v>
      </c>
      <c r="C1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4.488825661471548</v>
      </c>
      <c r="D1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0.78947368421052633</v>
      </c>
      <c r="E12" s="12">
        <v>0.33</v>
      </c>
      <c r="F12" s="12">
        <v>0.16</v>
      </c>
      <c r="G12" s="12">
        <v>0.35882566147154765</v>
      </c>
      <c r="H12" s="11">
        <v>30</v>
      </c>
      <c r="I12" s="11">
        <v>38</v>
      </c>
      <c r="J12" s="11"/>
      <c r="K12" s="11"/>
      <c r="L12" s="11"/>
      <c r="M12" s="11"/>
      <c r="N12" s="11">
        <v>1</v>
      </c>
      <c r="O12" s="11">
        <v>7</v>
      </c>
      <c r="P12" s="12">
        <f>CRY_32[[#This Row],[xPoints Av.]]*CRY_32[[#This Row],[Regularity]]</f>
        <v>3.5438097327406957</v>
      </c>
      <c r="Q12" s="11" t="s">
        <v>17</v>
      </c>
    </row>
    <row r="13" spans="1:17" ht="24" x14ac:dyDescent="0.45">
      <c r="A13" s="11" t="s">
        <v>201</v>
      </c>
      <c r="B13" s="11" t="s">
        <v>75</v>
      </c>
      <c r="C1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3.5913043478260871</v>
      </c>
      <c r="D1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</v>
      </c>
      <c r="E13" s="12">
        <v>0.18</v>
      </c>
      <c r="F13" s="12">
        <v>0.1</v>
      </c>
      <c r="G13" s="12">
        <v>0.39130434782608697</v>
      </c>
      <c r="H13" s="11">
        <v>19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CRY_32[[#This Row],[xPoints Av.]]*CRY_32[[#This Row],[Regularity]]</f>
        <v>1.7956521739130435</v>
      </c>
      <c r="Q13" s="11" t="s">
        <v>17</v>
      </c>
    </row>
    <row r="14" spans="1:17" ht="24" x14ac:dyDescent="0.45">
      <c r="A14" s="11" t="s">
        <v>202</v>
      </c>
      <c r="B14" s="11" t="s">
        <v>75</v>
      </c>
      <c r="C1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4.1194321206743574</v>
      </c>
      <c r="D1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0.30555555555555558</v>
      </c>
      <c r="E14" s="12">
        <v>0.12</v>
      </c>
      <c r="F14" s="12">
        <v>0.4</v>
      </c>
      <c r="G14" s="12">
        <v>0.31943212067435672</v>
      </c>
      <c r="H14" s="11">
        <v>11</v>
      </c>
      <c r="I14" s="11">
        <v>36</v>
      </c>
      <c r="J14" s="11"/>
      <c r="K14" s="11"/>
      <c r="L14" s="11"/>
      <c r="M14" s="11"/>
      <c r="N14" s="11">
        <v>1</v>
      </c>
      <c r="O14" s="11">
        <v>5.5</v>
      </c>
      <c r="P14" s="12">
        <f>CRY_32[[#This Row],[xPoints Av.]]*CRY_32[[#This Row],[Regularity]]</f>
        <v>1.2587153702060538</v>
      </c>
      <c r="Q14" s="11" t="s">
        <v>17</v>
      </c>
    </row>
    <row r="15" spans="1:17" ht="24" x14ac:dyDescent="0.45">
      <c r="A15" s="11" t="s">
        <v>203</v>
      </c>
      <c r="B15" s="11" t="s">
        <v>75</v>
      </c>
      <c r="C1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2.6538075313807532</v>
      </c>
      <c r="D1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5" s="12">
        <v>0.02</v>
      </c>
      <c r="F15" s="12">
        <v>0.08</v>
      </c>
      <c r="G15" s="12">
        <v>0.31380753138075312</v>
      </c>
      <c r="H15" s="11">
        <v>15</v>
      </c>
      <c r="I15" s="11">
        <v>38</v>
      </c>
      <c r="J15" s="11"/>
      <c r="K15" s="11"/>
      <c r="L15" s="11"/>
      <c r="M15" s="11"/>
      <c r="N15" s="11">
        <v>1</v>
      </c>
      <c r="O15" s="11">
        <v>5</v>
      </c>
      <c r="P15" s="12">
        <f>CRY_32[[#This Row],[xPoints Av.]]*CRY_32[[#This Row],[Regularity]]</f>
        <v>1.0475556044924026</v>
      </c>
      <c r="Q15" s="11" t="s">
        <v>17</v>
      </c>
    </row>
  </sheetData>
  <dataValidations count="1">
    <dataValidation type="list" allowBlank="1" showInputMessage="1" showErrorMessage="1" sqref="B2:B12 B13:B15" xr:uid="{27DDF732-28CC-4E13-8856-526FB33B14E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53F6-8A65-4F34-AF6B-75C7782E1811}">
  <dimension ref="A1:Q17"/>
  <sheetViews>
    <sheetView workbookViewId="0">
      <selection activeCell="O16" sqref="O16"/>
    </sheetView>
  </sheetViews>
  <sheetFormatPr defaultRowHeight="15" x14ac:dyDescent="0.25"/>
  <cols>
    <col min="1" max="1" width="18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211</v>
      </c>
      <c r="B2" s="11" t="s">
        <v>64</v>
      </c>
      <c r="C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3.2787951807228914</v>
      </c>
      <c r="D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0.85294117647058831</v>
      </c>
      <c r="E2" s="12">
        <v>0.04</v>
      </c>
      <c r="F2" s="12">
        <v>0.03</v>
      </c>
      <c r="G2" s="12">
        <v>0.23719879518072287</v>
      </c>
      <c r="H2" s="11">
        <v>29</v>
      </c>
      <c r="I2" s="11">
        <v>34</v>
      </c>
      <c r="J2" s="11"/>
      <c r="K2" s="11"/>
      <c r="L2" s="11"/>
      <c r="M2" s="11"/>
      <c r="N2" s="11">
        <v>1</v>
      </c>
      <c r="O2" s="11">
        <v>4.5</v>
      </c>
      <c r="P2" s="12">
        <f>EVE_33[[#This Row],[xPoints Av.]]*EVE_33[[#This Row],[Regularity]]</f>
        <v>2.7966194188518783</v>
      </c>
      <c r="Q2" s="11" t="s">
        <v>21</v>
      </c>
    </row>
    <row r="3" spans="1:17" ht="24" x14ac:dyDescent="0.45">
      <c r="A3" s="11" t="s">
        <v>210</v>
      </c>
      <c r="B3" s="11" t="s">
        <v>64</v>
      </c>
      <c r="C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3.3918882121103548</v>
      </c>
      <c r="D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0.81578947368421051</v>
      </c>
      <c r="E3" s="12">
        <v>0.04</v>
      </c>
      <c r="F3" s="12">
        <v>0.04</v>
      </c>
      <c r="G3" s="12">
        <v>0.25797205302758869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4.5</v>
      </c>
      <c r="P3" s="12">
        <f>EVE_33[[#This Row],[xPoints Av.]]*EVE_33[[#This Row],[Regularity]]</f>
        <v>2.7670666993531841</v>
      </c>
      <c r="Q3" s="11" t="s">
        <v>21</v>
      </c>
    </row>
    <row r="4" spans="1:17" ht="24" x14ac:dyDescent="0.45">
      <c r="A4" s="11" t="s">
        <v>212</v>
      </c>
      <c r="B4" s="11" t="s">
        <v>64</v>
      </c>
      <c r="C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3.2638818565400847</v>
      </c>
      <c r="D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4" s="12">
        <v>7.0000000000000007E-2</v>
      </c>
      <c r="F4" s="12">
        <v>0</v>
      </c>
      <c r="G4" s="12">
        <v>0.2109704641350211</v>
      </c>
      <c r="H4" s="11">
        <v>23</v>
      </c>
      <c r="I4" s="11">
        <v>38</v>
      </c>
      <c r="J4" s="11"/>
      <c r="K4" s="11"/>
      <c r="L4" s="11"/>
      <c r="M4" s="11"/>
      <c r="N4" s="11">
        <v>1</v>
      </c>
      <c r="O4" s="11">
        <v>4.5</v>
      </c>
      <c r="P4" s="12">
        <f>EVE_33[[#This Row],[xPoints Av.]]*EVE_33[[#This Row],[Regularity]]</f>
        <v>1.975507439484788</v>
      </c>
      <c r="Q4" s="11" t="s">
        <v>21</v>
      </c>
    </row>
    <row r="5" spans="1:17" ht="24" x14ac:dyDescent="0.45">
      <c r="A5" s="11" t="s">
        <v>214</v>
      </c>
      <c r="B5" s="11" t="s">
        <v>64</v>
      </c>
      <c r="C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3.1297092163627402</v>
      </c>
      <c r="D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0.61111111111111116</v>
      </c>
      <c r="E5" s="12">
        <v>0.05</v>
      </c>
      <c r="F5" s="12">
        <v>0.04</v>
      </c>
      <c r="G5" s="12">
        <v>0.17742730409068508</v>
      </c>
      <c r="H5" s="11">
        <v>11</v>
      </c>
      <c r="I5" s="11">
        <v>18</v>
      </c>
      <c r="J5" s="11"/>
      <c r="K5" s="11"/>
      <c r="L5" s="11"/>
      <c r="M5" s="11"/>
      <c r="N5" s="11">
        <v>1</v>
      </c>
      <c r="O5" s="11">
        <v>4.5</v>
      </c>
      <c r="P5" s="12">
        <f>EVE_33[[#This Row],[xPoints Av.]]*EVE_33[[#This Row],[Regularity]]</f>
        <v>1.9126000766661191</v>
      </c>
      <c r="Q5" s="11" t="s">
        <v>21</v>
      </c>
    </row>
    <row r="6" spans="1:17" ht="24" x14ac:dyDescent="0.45">
      <c r="A6" s="11" t="s">
        <v>215</v>
      </c>
      <c r="B6" s="11" t="s">
        <v>64</v>
      </c>
      <c r="C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3.0330805687203792</v>
      </c>
      <c r="D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6" s="12">
        <v>0.03</v>
      </c>
      <c r="F6" s="12">
        <v>0</v>
      </c>
      <c r="G6" s="12">
        <v>0.21327014218009477</v>
      </c>
      <c r="H6" s="11">
        <v>8</v>
      </c>
      <c r="I6" s="11">
        <v>13</v>
      </c>
      <c r="J6" s="11"/>
      <c r="K6" s="11"/>
      <c r="L6" s="11"/>
      <c r="M6" s="11"/>
      <c r="N6" s="11">
        <v>1</v>
      </c>
      <c r="O6" s="11">
        <v>4.5</v>
      </c>
      <c r="P6" s="12">
        <f>EVE_33[[#This Row],[xPoints Av.]]*EVE_33[[#This Row],[Regularity]]</f>
        <v>1.8665111192125412</v>
      </c>
      <c r="Q6" s="11" t="s">
        <v>21</v>
      </c>
    </row>
    <row r="7" spans="1:17" ht="24" x14ac:dyDescent="0.45">
      <c r="A7" s="11" t="s">
        <v>213</v>
      </c>
      <c r="B7" s="11" t="s">
        <v>64</v>
      </c>
      <c r="C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3.1597092163627405</v>
      </c>
      <c r="D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0.57894736842105265</v>
      </c>
      <c r="E7" s="12">
        <v>0.06</v>
      </c>
      <c r="F7" s="12">
        <v>0.03</v>
      </c>
      <c r="G7" s="12">
        <v>0.17742730409068508</v>
      </c>
      <c r="H7" s="11">
        <v>22</v>
      </c>
      <c r="I7" s="11">
        <v>38</v>
      </c>
      <c r="J7" s="11"/>
      <c r="K7" s="11"/>
      <c r="L7" s="11"/>
      <c r="M7" s="11"/>
      <c r="N7" s="11">
        <v>1</v>
      </c>
      <c r="O7" s="11">
        <v>4.5</v>
      </c>
      <c r="P7" s="12">
        <f>EVE_33[[#This Row],[xPoints Av.]]*EVE_33[[#This Row],[Regularity]]</f>
        <v>1.829305335788955</v>
      </c>
      <c r="Q7" s="11" t="s">
        <v>21</v>
      </c>
    </row>
    <row r="8" spans="1:17" ht="24" x14ac:dyDescent="0.45">
      <c r="A8" s="13" t="s">
        <v>224</v>
      </c>
      <c r="B8" s="11" t="s">
        <v>84</v>
      </c>
      <c r="C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4.08</v>
      </c>
      <c r="D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0.68181818181818177</v>
      </c>
      <c r="E8" s="12">
        <v>0.43</v>
      </c>
      <c r="F8" s="12">
        <v>0.12</v>
      </c>
      <c r="G8" s="12">
        <v>0.21077283372365341</v>
      </c>
      <c r="H8" s="11">
        <v>15</v>
      </c>
      <c r="I8" s="11">
        <v>22</v>
      </c>
      <c r="J8" s="11"/>
      <c r="K8" s="11"/>
      <c r="L8" s="11"/>
      <c r="M8" s="11"/>
      <c r="N8" s="11">
        <v>1</v>
      </c>
      <c r="O8" s="11">
        <v>8</v>
      </c>
      <c r="P8" s="12">
        <f>EVE_33[[#This Row],[xPoints Av.]]*EVE_33[[#This Row],[Regularity]]</f>
        <v>2.7818181818181817</v>
      </c>
      <c r="Q8" s="11" t="s">
        <v>21</v>
      </c>
    </row>
    <row r="9" spans="1:17" ht="24" x14ac:dyDescent="0.45">
      <c r="A9" s="11" t="s">
        <v>225</v>
      </c>
      <c r="B9" s="11" t="s">
        <v>84</v>
      </c>
      <c r="C9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3.45</v>
      </c>
      <c r="D9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0.23529411764705882</v>
      </c>
      <c r="E9" s="12">
        <v>0.31</v>
      </c>
      <c r="F9" s="12">
        <v>7.0000000000000007E-2</v>
      </c>
      <c r="G9" s="12">
        <v>0.21077283372365341</v>
      </c>
      <c r="H9" s="18">
        <v>8</v>
      </c>
      <c r="I9" s="18">
        <v>34</v>
      </c>
      <c r="J9" s="11"/>
      <c r="K9" s="11"/>
      <c r="L9" s="11"/>
      <c r="M9" s="11"/>
      <c r="N9" s="11">
        <v>1</v>
      </c>
      <c r="O9" s="11">
        <v>5</v>
      </c>
      <c r="P9" s="12">
        <f>EVE_33[[#This Row],[xPoints Av.]]*EVE_33[[#This Row],[Regularity]]</f>
        <v>0.81176470588235294</v>
      </c>
      <c r="Q9" s="11" t="s">
        <v>21</v>
      </c>
    </row>
    <row r="10" spans="1:17" ht="24" x14ac:dyDescent="0.45">
      <c r="A10" s="11" t="s">
        <v>209</v>
      </c>
      <c r="B10" s="11" t="s">
        <v>62</v>
      </c>
      <c r="C10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</v>
      </c>
      <c r="D10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0.97222222222222221</v>
      </c>
      <c r="E10" s="12">
        <v>0</v>
      </c>
      <c r="F10" s="12">
        <v>0</v>
      </c>
      <c r="G10" s="12">
        <v>0.2</v>
      </c>
      <c r="H10" s="11">
        <v>35</v>
      </c>
      <c r="I10" s="11">
        <v>36</v>
      </c>
      <c r="J10" s="11"/>
      <c r="K10" s="11"/>
      <c r="L10" s="11"/>
      <c r="M10" s="11"/>
      <c r="N10" s="11">
        <v>1</v>
      </c>
      <c r="O10" s="11">
        <v>4.5</v>
      </c>
      <c r="P10" s="12">
        <f>EVE_33[[#This Row],[xPoints Av.]]*EVE_33[[#This Row],[Regularity]]</f>
        <v>2.7222222222222219</v>
      </c>
      <c r="Q10" s="11" t="s">
        <v>21</v>
      </c>
    </row>
    <row r="11" spans="1:17" ht="24" x14ac:dyDescent="0.45">
      <c r="A11" s="11" t="s">
        <v>218</v>
      </c>
      <c r="B11" s="11" t="s">
        <v>75</v>
      </c>
      <c r="C11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2.8974447949526816</v>
      </c>
      <c r="D11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0.875</v>
      </c>
      <c r="E11" s="12">
        <v>0.09</v>
      </c>
      <c r="F11" s="12">
        <v>0.09</v>
      </c>
      <c r="G11" s="12">
        <v>0.1774447949526814</v>
      </c>
      <c r="H11" s="11">
        <v>28</v>
      </c>
      <c r="I11" s="11">
        <v>32</v>
      </c>
      <c r="J11" s="11"/>
      <c r="K11" s="11"/>
      <c r="L11" s="11"/>
      <c r="M11" s="11"/>
      <c r="N11" s="11">
        <v>1</v>
      </c>
      <c r="O11" s="11">
        <v>5.5</v>
      </c>
      <c r="P11" s="12">
        <f>EVE_33[[#This Row],[xPoints Av.]]*EVE_33[[#This Row],[Regularity]]</f>
        <v>2.5352641955835962</v>
      </c>
      <c r="Q11" s="11" t="s">
        <v>21</v>
      </c>
    </row>
    <row r="12" spans="1:17" ht="24" x14ac:dyDescent="0.45">
      <c r="A12" s="11" t="s">
        <v>216</v>
      </c>
      <c r="B12" s="11" t="s">
        <v>75</v>
      </c>
      <c r="C1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3.541164383561644</v>
      </c>
      <c r="D1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0.68421052631578949</v>
      </c>
      <c r="E12" s="12">
        <v>0.16</v>
      </c>
      <c r="F12" s="12">
        <v>0.17</v>
      </c>
      <c r="G12" s="12">
        <v>0.23116438356164384</v>
      </c>
      <c r="H12" s="11">
        <v>26</v>
      </c>
      <c r="I12" s="11">
        <v>38</v>
      </c>
      <c r="J12" s="11"/>
      <c r="K12" s="11"/>
      <c r="L12" s="11"/>
      <c r="M12" s="11"/>
      <c r="N12" s="11">
        <v>1</v>
      </c>
      <c r="O12" s="11">
        <v>5.5</v>
      </c>
      <c r="P12" s="12">
        <f>EVE_33[[#This Row],[xPoints Av.]]*EVE_33[[#This Row],[Regularity]]</f>
        <v>2.4229019466474409</v>
      </c>
      <c r="Q12" s="11" t="s">
        <v>21</v>
      </c>
    </row>
    <row r="13" spans="1:17" ht="24" x14ac:dyDescent="0.45">
      <c r="A13" s="11" t="s">
        <v>217</v>
      </c>
      <c r="B13" s="11" t="s">
        <v>75</v>
      </c>
      <c r="C1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3.4266798418972333</v>
      </c>
      <c r="D1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3" s="12">
        <v>0.14000000000000001</v>
      </c>
      <c r="F13" s="12">
        <v>0.15</v>
      </c>
      <c r="G13" s="12">
        <v>0.27667984189723321</v>
      </c>
      <c r="H13" s="11">
        <v>23</v>
      </c>
      <c r="I13" s="11">
        <v>38</v>
      </c>
      <c r="J13" s="11"/>
      <c r="K13" s="11"/>
      <c r="L13" s="11"/>
      <c r="M13" s="11"/>
      <c r="N13" s="11">
        <v>1</v>
      </c>
      <c r="O13" s="11">
        <v>5.5</v>
      </c>
      <c r="P13" s="12">
        <f>EVE_33[[#This Row],[xPoints Av.]]*EVE_33[[#This Row],[Regularity]]</f>
        <v>2.0740430622009569</v>
      </c>
      <c r="Q13" s="11" t="s">
        <v>21</v>
      </c>
    </row>
    <row r="14" spans="1:17" ht="24" x14ac:dyDescent="0.45">
      <c r="A14" s="11" t="s">
        <v>220</v>
      </c>
      <c r="B14" s="11" t="s">
        <v>75</v>
      </c>
      <c r="C1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3.3359504132231406</v>
      </c>
      <c r="D1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4" s="12">
        <v>0.14000000000000001</v>
      </c>
      <c r="F14" s="12">
        <v>0.15</v>
      </c>
      <c r="G14" s="12">
        <v>0.18595041322314051</v>
      </c>
      <c r="H14" s="11">
        <v>16</v>
      </c>
      <c r="I14" s="11">
        <v>26</v>
      </c>
      <c r="J14" s="11"/>
      <c r="K14" s="11"/>
      <c r="L14" s="11"/>
      <c r="M14" s="11"/>
      <c r="N14" s="11">
        <v>1</v>
      </c>
      <c r="O14" s="11">
        <v>5.5</v>
      </c>
      <c r="P14" s="12">
        <f>EVE_33[[#This Row],[xPoints Av.]]*EVE_33[[#This Row],[Regularity]]</f>
        <v>2.0528925619834713</v>
      </c>
      <c r="Q14" s="11" t="s">
        <v>21</v>
      </c>
    </row>
    <row r="15" spans="1:17" ht="24" x14ac:dyDescent="0.45">
      <c r="A15" s="11" t="s">
        <v>219</v>
      </c>
      <c r="B15" s="11" t="s">
        <v>75</v>
      </c>
      <c r="C1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3.2361409561360275</v>
      </c>
      <c r="D1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5" s="12">
        <v>0.11</v>
      </c>
      <c r="F15" s="12">
        <v>0.14000000000000001</v>
      </c>
      <c r="G15" s="12">
        <v>0.26614095613602762</v>
      </c>
      <c r="H15" s="11">
        <v>23</v>
      </c>
      <c r="I15" s="11">
        <v>38</v>
      </c>
      <c r="J15" s="11"/>
      <c r="K15" s="11"/>
      <c r="L15" s="11"/>
      <c r="M15" s="11"/>
      <c r="N15" s="11">
        <v>1</v>
      </c>
      <c r="O15" s="11">
        <v>5.5</v>
      </c>
      <c r="P15" s="12">
        <f>EVE_33[[#This Row],[xPoints Av.]]*EVE_33[[#This Row],[Regularity]]</f>
        <v>1.958716894503385</v>
      </c>
      <c r="Q15" s="11" t="s">
        <v>21</v>
      </c>
    </row>
    <row r="16" spans="1:17" ht="24" x14ac:dyDescent="0.45">
      <c r="A16" s="11" t="s">
        <v>221</v>
      </c>
      <c r="B16" s="11" t="s">
        <v>75</v>
      </c>
      <c r="C1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2.3875928473177441</v>
      </c>
      <c r="D1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6" s="12">
        <v>0.01</v>
      </c>
      <c r="F16" s="12">
        <v>0.03</v>
      </c>
      <c r="G16" s="12">
        <v>0.24759284731774414</v>
      </c>
      <c r="H16" s="11">
        <v>23</v>
      </c>
      <c r="I16" s="11">
        <v>38</v>
      </c>
      <c r="J16" s="11"/>
      <c r="K16" s="11"/>
      <c r="L16" s="11"/>
      <c r="M16" s="11"/>
      <c r="N16" s="11">
        <v>1</v>
      </c>
      <c r="O16" s="11">
        <v>5</v>
      </c>
      <c r="P16" s="12">
        <f>EVE_33[[#This Row],[xPoints Av.]]*EVE_33[[#This Row],[Regularity]]</f>
        <v>1.445121986534424</v>
      </c>
      <c r="Q16" s="11" t="s">
        <v>21</v>
      </c>
    </row>
    <row r="17" spans="1:17" ht="24" x14ac:dyDescent="0.45">
      <c r="A17" s="11" t="s">
        <v>222</v>
      </c>
      <c r="B17" s="11" t="s">
        <v>75</v>
      </c>
      <c r="C1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3.0141116751269035</v>
      </c>
      <c r="D1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0.13333333333333333</v>
      </c>
      <c r="E17" s="12">
        <v>0.04</v>
      </c>
      <c r="F17" s="12">
        <v>0.18</v>
      </c>
      <c r="G17" s="12">
        <v>0.27411167512690354</v>
      </c>
      <c r="H17" s="11">
        <v>2</v>
      </c>
      <c r="I17" s="11">
        <v>15</v>
      </c>
      <c r="J17" s="11"/>
      <c r="K17" s="11"/>
      <c r="L17" s="11"/>
      <c r="M17" s="11"/>
      <c r="N17" s="11">
        <v>1</v>
      </c>
      <c r="O17" s="11">
        <v>5.5</v>
      </c>
      <c r="P17" s="12">
        <f>EVE_33[[#This Row],[xPoints Av.]]*EVE_33[[#This Row],[Regularity]]</f>
        <v>0.4018815566835871</v>
      </c>
      <c r="Q17" s="11" t="s">
        <v>21</v>
      </c>
    </row>
  </sheetData>
  <dataValidations count="1">
    <dataValidation type="list" allowBlank="1" showInputMessage="1" showErrorMessage="1" sqref="B2:B17" xr:uid="{0FD32F6F-94A7-4128-AADA-37DA1DBAED0F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H A A B Q S w M E F A A C A A g A f J T G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H y U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l M Z U 6 X N E A 4 s E A A D 7 R A A A E w A c A E Z v c m 1 1 b G F z L 1 N l Y 3 R p b 2 4 x L m 0 g o h g A K K A U A A A A A A A A A A A A A A A A A A A A A A A A A A A A 7 Z z f T 6 N K F M f f T f w f C P t C c y d k v T E m e z d 9 q J V e u b d r X S g 1 R o 3 B d l b J w t A w 4 L b X + L / f M / x a S 5 m 6 k c l k T c Y H b e c c + B 7 O n A / D w C D F 8 z S I i e Y W f w 8 + 7 + / t 7 9 E H P 8 E L b e C 4 W l 8 L c b q / p 8 G P G 2 f J H E O L t Z r j 0 L y I k + 9 3 c f z d G A U h N o c x S T F J q a E P / 7 r 2 K E 7 o d R w G j / j 6 J J 5 n E b N c j 8 7 H 5 i q k K 7 2 H N J K F I d L S J M M 9 V O w d x G 6 n / l 3 I B A q l p y s 7 x V F f B 4 u O / g 3 I o q / n D v r N 8 9 W J n / o 3 5 Z Y f 9 O G D T + 4 h 4 O l 6 i X X Y P n c z p 4 l P 6 L c 4 i Y Z x m E W E G a l R y 6 C n J / 0 8 9 N c 4 0 S E Q s G k p X q X P S I P m m J p b j a v z O I C j 0 A a P t Y 1 k 0 R 1 O c q u D 7 7 P Q T 4 J 0 3 W J c / b 3 8 9 F E b + z S F N P s 0 J m 0 + g 9 d 9 h u 7 r P k c f / / g S E N r w s k l 6 d G i y D F Q H S A O W 6 l / y L s K f P g S 0 I e u T 9 Y v Y d z g U g e 9 w q O L Y 4 b I V 8 6 Z v 8 w i T Y I 6 b u / i a + W F 7 D 0 2 x H 2 3 0 + H N v f y 8 g r f W 1 Q c h s L J G Q 2 Z h H y G w s k J B K R h G i C O l M y P H p Q B 4 h I M Y h B C z i C K l l F C G K k O 6 E T D y J h E w 8 H i E T T y A h l c x b C X H n f o g X L X W 0 Q V D D u A H Q 7 1 K A r 2 H T p Q Q b 3 m + u Q M e S W I G O x a t A x x J Y g Z W M O k e r c 3 T n c / T w V C I h I M Y h B C z i C K l l F C G K k O 6 E O J c S C X E u e Y Q 4 l w I J q W Q U I Y q Q z o R Y M 4 l j C I h x C A G L O E J q G U W I I q Q z I a O J I 4 8 Q E O M Q A h Z x h N Q y a i b 8 D m b C I 0 / i / X w Q 4 1 W g J / B + f i 2 j K v A d V O D Y k n i V A G K c C g S L u A q s Z d R V g r p K 6 H y V M L Z s m Y T Y X E J s k Y T Y i h B F i C h C 7 J l E Q u w Z j x B 7 J p C Q S k Y R o g j p T M i X o c Q x B M Q 4 h I B F H C G 1 j C J E E d K d E O 9 M I i H e G Y 8 Q 7 0 w g I Z W M I k Q R 0 p m Q M + t C H i E g x i E E L O I I q W U U I Y q Q z o S 4 M l e 2 u d y V b a 7 I l W 1 u 1 5 V t i h B F S E 3 I d D K V R w i I c Q g B i z h C a h l F i C K k M y E X p x L H E B D j E A I W c Y T U M o o Q R U h 3 Q i Y S n 1 m D G I + Q i c B n 1 r W M I k Q R 0 n 2 m j n 8 U V Q b 1 / q f E O f s L W d 7 k / Y W L w F n 8 l r B a + v E O l n 5 U J b J d n k V f j 5 I 4 c u I f 1 P g H g j S r K j S O A + I n a / M E z + N o m W B K q x b m P w V 9 Q w 8 O D 0 e D Q b 8 P U R U 2 i 8 z j R U D u z W O f 4 q N D K N 9 h u X H A d o 2 / h X 6 K e 9 A M s W i 3 K Y R g G C W N Y Z i H y Q 6 s p 0 U 4 9 b U r F y c B 5 O I / v D C Z H n g z D G 5 6 W k D K L O S b X B U V C O b b F G l l + s p v L G f l x z z Z + e e b 3 p t m 6 H n W d l R 8 4 w R T t 2 / 1 2 1 b X l 7 1 Z R z V Y L j F Z Q F h f M 5 y s f 8 Y F y b w L C D a e G o E j 9 l 8 O X m z v 4 C h + Z I v n 8 / D p z x 0 U h r L Z 2 B J C N b Y N E j f Z a x 3 S W s e w 1 k G L M 0 q 9 N i 6 1 M t 7 K d S v L H H 5 3 E 8 v t k 4 P W T m n m H b F 3 6 x F 7 f R i x N y Q R e 0 k N s f d w E H v V A L H V 1 I g t G E V s z R 5 i y 6 b Y L x u x h 9 + I P d 9 D 7 B E G Y n d p E b s R h d h c G 7 H p B G J X T G h z B O I X w M G v V s C B K o E W e 2 P U 2 j z t b q X 6 8 / 9 Q S w E C L Q A U A A I A C A B 8 l M Z U z T l R g K U A A A D 3 A A A A E g A A A A A A A A A A A A A A A A A A A A A A Q 2 9 u Z m l n L 1 B h Y 2 t h Z 2 U u e G 1 s U E s B A i 0 A F A A C A A g A f J T G V A / K 6 a u k A A A A 6 Q A A A B M A A A A A A A A A A A A A A A A A 8 Q A A A F t D b 2 5 0 Z W 5 0 X 1 R 5 c G V z X S 5 4 b W x Q S w E C L Q A U A A I A C A B 8 l M Z U 6 X N E A 4 s E A A D 7 R A A A E w A A A A A A A A A A A A A A A A D i A Q A A R m 9 y b X V s Y X M v U 2 V j d G l v b j E u b V B L B Q Y A A A A A A w A D A M I A A A C 6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g E A A A A A A H R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l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g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w O D A 2 M j M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M v Q V J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T I 4 N T A 2 N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k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L 0 F W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E 1 M z U x M D B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h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S 9 C S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x O D c 1 M D E 2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V L 0 J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I 4 M D U w N T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S 9 C U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z M j M 1 M D I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I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v Q 0 h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z g y N T A x M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L 0 N S W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Q 1 M T U w M T l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Z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S 9 F V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1 N z U 1 M z M x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L 0 Z P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T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U 5 N j U 1 N j N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w v R l V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j E 3 N T Q 0 O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R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L 0 x F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Y 2 M D U 0 N D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S 9 M R U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2 O D g 1 N D Q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v T E l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z E z N T Q 2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L 0 1 D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c 2 M z U 0 N D R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V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i 9 N V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3 O D Y 1 N D Q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v T k V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O D E z N T Q 0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L 1 N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g 1 M j U 0 M z h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T 1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5 N j c 5 M D A x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I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v V 0 h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M u M D A 5 O T A w M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T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L 1 d P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z L j A z O D g 5 O T R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R y Y W 5 z Z m V y c z I v Q X V 0 b 1 J l b W 9 2 Z W R D b 2 x 1 b W 5 z M S 5 7 U G x h e W V y L D B 9 J n F 1 b 3 Q 7 L C Z x d W 9 0 O 1 N l Y 3 R p b 2 4 x L 0 5 l d 1 R y Y W 5 z Z m V y c z I v Q X V 0 b 1 J l b W 9 2 Z W R D b 2 x 1 b W 5 z M S 5 7 U G 9 z L i w x f S Z x d W 9 0 O y w m c X V v d D t T Z W N 0 a W 9 u M S 9 O Z X d U c m F u c 2 Z l c n M y L 0 F 1 d G 9 S Z W 1 v d m V k Q 2 9 s d W 1 u c z E u e 3 h Q b 2 l u d H M g U 2 N h b G V k L D J 9 J n F 1 b 3 Q 7 L C Z x d W 9 0 O 1 N l Y 3 R p b 2 4 x L 0 5 l d 1 R y Y W 5 z Z m V y c z I v Q X V 0 b 1 J l b W 9 2 Z W R D b 2 x 1 b W 5 z M S 5 7 e F B v a W 5 0 c y B B d i 4 s M 3 0 m c X V v d D s s J n F 1 b 3 Q 7 U 2 V j d G l v b j E v T m V 3 V H J h b n N m Z X J z M i 9 B d X R v U m V t b 3 Z l Z E N v b H V t b n M x L n t S Z W d 1 b G F y a X R 5 L D R 9 J n F 1 b 3 Q 7 L C Z x d W 9 0 O 1 N l Y 3 R p b 2 4 x L 0 5 l d 1 R y Y W 5 z Z m V y c z I v Q X V 0 b 1 J l b W 9 2 Z W R D b 2 x 1 b W 5 z M S 5 7 e E d w O T A g V G h p c y B T Z W F z b 2 4 s N X 0 m c X V v d D s s J n F 1 b 3 Q 7 U 2 V j d G l v b j E v T m V 3 V H J h b n N m Z X J z M i 9 B d X R v U m V t b 3 Z l Z E N v b H V t b n M x L n t 4 Q X A 5 M C B U a G l z I F N l Y X N v b i w 2 f S Z x d W 9 0 O y w m c X V v d D t T Z W N 0 a W 9 u M S 9 O Z X d U c m F u c 2 Z l c n M y L 0 F 1 d G 9 S Z W 1 v d m V k Q 2 9 s d W 1 u c z E u e 0 N T c D k w I F R o a X M g U 2 V h c 2 9 u L D d 9 J n F 1 b 3 Q 7 L C Z x d W 9 0 O 1 N l Y 3 R p b 2 4 x L 0 5 l d 1 R y Y W 5 z Z m V y c z I v Q X V 0 b 1 J l b W 9 2 Z W R D b 2 x 1 b W 5 z M S 5 7 N j A r T W l u c y B U a G l z I F N l Y X N v b i w 4 f S Z x d W 9 0 O y w m c X V v d D t T Z W N 0 a W 9 u M S 9 O Z X d U c m F u c 2 Z l c n M y L 0 F 1 d G 9 S Z W 1 v d m V k Q 2 9 s d W 1 u c z E u e 1 B v c 3 N p Y m x l I D Y w K 0 1 p b n M g V G h p c y B T Z W F z b 2 4 s O X 0 m c X V v d D s s J n F 1 b 3 Q 7 U 2 V j d G l v b j E v T m V 3 V H J h b n N m Z X J z M i 9 B d X R v U m V t b 3 Z l Z E N v b H V t b n M x L n t Q c m l j Z S w x M H 0 m c X V v d D s s J n F 1 b 3 Q 7 U 2 V j d G l v b j E v T m V 3 V H J h b n N m Z X J z M i 9 B d X R v U m V t b 3 Z l Z E N v b H V t b n M x L n t R d W F s a X R 5 L D E x f S Z x d W 9 0 O y w m c X V v d D t T Z W N 0 a W 9 u M S 9 O Z X d U c m F u c 2 Z l c n M y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Z X d U c m F u c 2 Z l c n M y L 0 F 1 d G 9 S Z W 1 v d m V k Q 2 9 s d W 1 u c z E u e 1 B s Y X l l c i w w f S Z x d W 9 0 O y w m c X V v d D t T Z W N 0 a W 9 u M S 9 O Z X d U c m F u c 2 Z l c n M y L 0 F 1 d G 9 S Z W 1 v d m V k Q 2 9 s d W 1 u c z E u e 1 B v c y 4 s M X 0 m c X V v d D s s J n F 1 b 3 Q 7 U 2 V j d G l v b j E v T m V 3 V H J h b n N m Z X J z M i 9 B d X R v U m V t b 3 Z l Z E N v b H V t b n M x L n t 4 U G 9 p b n R z I F N j Y W x l Z C w y f S Z x d W 9 0 O y w m c X V v d D t T Z W N 0 a W 9 u M S 9 O Z X d U c m F u c 2 Z l c n M y L 0 F 1 d G 9 S Z W 1 v d m V k Q 2 9 s d W 1 u c z E u e 3 h Q b 2 l u d H M g Q X Y u L D N 9 J n F 1 b 3 Q 7 L C Z x d W 9 0 O 1 N l Y 3 R p b 2 4 x L 0 5 l d 1 R y Y W 5 z Z m V y c z I v Q X V 0 b 1 J l b W 9 2 Z W R D b 2 x 1 b W 5 z M S 5 7 U m V n d W x h c m l 0 e S w 0 f S Z x d W 9 0 O y w m c X V v d D t T Z W N 0 a W 9 u M S 9 O Z X d U c m F u c 2 Z l c n M y L 0 F 1 d G 9 S Z W 1 v d m V k Q 2 9 s d W 1 u c z E u e 3 h H c D k w I F R o a X M g U 2 V h c 2 9 u L D V 9 J n F 1 b 3 Q 7 L C Z x d W 9 0 O 1 N l Y 3 R p b 2 4 x L 0 5 l d 1 R y Y W 5 z Z m V y c z I v Q X V 0 b 1 J l b W 9 2 Z W R D b 2 x 1 b W 5 z M S 5 7 e E F w O T A g V G h p c y B T Z W F z b 2 4 s N n 0 m c X V v d D s s J n F 1 b 3 Q 7 U 2 V j d G l v b j E v T m V 3 V H J h b n N m Z X J z M i 9 B d X R v U m V t b 3 Z l Z E N v b H V t b n M x L n t D U 3 A 5 M C B U a G l z I F N l Y X N v b i w 3 f S Z x d W 9 0 O y w m c X V v d D t T Z W N 0 a W 9 u M S 9 O Z X d U c m F u c 2 Z l c n M y L 0 F 1 d G 9 S Z W 1 v d m V k Q 2 9 s d W 1 u c z E u e z Y w K 0 1 p b n M g V G h p c y B T Z W F z b 2 4 s O H 0 m c X V v d D s s J n F 1 b 3 Q 7 U 2 V j d G l v b j E v T m V 3 V H J h b n N m Z X J z M i 9 B d X R v U m V t b 3 Z l Z E N v b H V t b n M x L n t Q b 3 N z a W J s Z S A 2 M C t N a W 5 z I F R o a X M g U 2 V h c 2 9 u L D l 9 J n F 1 b 3 Q 7 L C Z x d W 9 0 O 1 N l Y 3 R p b 2 4 x L 0 5 l d 1 R y Y W 5 z Z m V y c z I v Q X V 0 b 1 J l b W 9 2 Z W R D b 2 x 1 b W 5 z M S 5 7 U H J p Y 2 U s M T B 9 J n F 1 b 3 Q 7 L C Z x d W 9 0 O 1 N l Y 3 R p b 2 4 x L 0 5 l d 1 R y Y W 5 z Z m V y c z I v Q X V 0 b 1 J l b W 9 2 Z W R D b 2 x 1 b W 5 z M S 5 7 U X V h b G l 0 e S w x M X 0 m c X V v d D s s J n F 1 b 3 Q 7 U 2 V j d G l v b j E v T m V 3 V H J h b n N m Z X J z M i 9 B d X R v U m V t b 3 Z l Z E N v b H V t b n M x L n t U Z W F t L D E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3 V H J h b n N m Z X J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U c m F u c 2 Z l c n M y L 0 5 l d 1 R y Y W 5 z Z m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N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y 4 w N j A 4 O T c 0 W i I g L z 4 8 R W 5 0 c n k g V H l w Z T 0 i R m l s b E N v b H V t b l R 5 c G V z I i B W Y W x 1 Z T 0 i c 0 J n Q U d B Q T 0 9 I i A v P j x F b n R y e S B U e X B l P S J G a W x s Q 2 9 s d W 1 u T m F t Z X M i I F Z h b H V l P S J z W y Z x d W 9 0 O 1 B s Y X l l c i Z x d W 9 0 O y w m c X V v d D t R d W F s a X R 5 J n F 1 b 3 Q 7 L C Z x d W 9 0 O 1 R l Y W 0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Q b G F 5 Z X I s M H 0 m c X V v d D s s J n F 1 b 3 Q 7 U 2 V j d G l v b j E v V G F i b G U v Q X V 0 b 1 J l b W 9 2 Z W R D b 2 x 1 b W 5 z M S 5 7 U X V h b G l 0 e S w x f S Z x d W 9 0 O y w m c X V v d D t T Z W N 0 a W 9 u M S 9 U Y W J s Z S 9 B d X R v U m V t b 3 Z l Z E N v b H V t b n M x L n t U Z W F t L D J 9 J n F 1 b 3 Q 7 L C Z x d W 9 0 O 1 N l Y 3 R p b 2 4 x L 1 R h Y m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L 0 F 1 d G 9 S Z W 1 v d m V k Q 2 9 s d W 1 u c z E u e 1 B s Y X l l c i w w f S Z x d W 9 0 O y w m c X V v d D t T Z W N 0 a W 9 u M S 9 U Y W J s Z S 9 B d X R v U m V t b 3 Z l Z E N v b H V t b n M x L n t R d W F s a X R 5 L D F 9 J n F 1 b 3 Q 7 L C Z x d W 9 0 O 1 N l Y 3 R p b 2 4 x L 1 R h Y m x l L 0 F 1 d G 9 S Z W 1 v d m V k Q 2 9 s d W 1 u c z E u e 1 R l Y W 0 s M n 0 m c X V v d D s s J n F 1 b 3 Q 7 U 2 V j d G l v b j E v V G F i b G U v Q X V 0 b 1 J l b W 9 2 Z W R D b 2 x 1 b W 5 z M S 5 7 U H J p Y 2 U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k R u u a 1 6 U + 0 w Y k R P F s d t w A A A A A C A A A A A A A Q Z g A A A A E A A C A A A A D o / Y b Q A 1 p z d P 5 R s d Z / J 8 T j X K 6 S Z i u X s A g q B 9 B 6 s 7 N 9 d Q A A A A A O g A A A A A I A A C A A A A D f 5 / P D 7 h F W o e v p l R D K O P e C y P S k s 7 A v z B G R T P M 0 l j H K f F A A A A B b j 4 w k K O B 7 v c L w a A q 6 5 o S m 9 E n V h n Q q y T H 6 / + O Z Z V P 4 P m I 0 k q I U c F 8 o 0 z 9 t L Q U 3 9 5 z 4 q n V W f V O z A S + H M m z + k k V T u K I v c J m v m 0 Q v q N F J O C a L i k A A A A A o C n / R R N G 5 v n W t k a D Q D Z / A K O F J O E / 7 / M L Q A H F a 1 f y C Y x D n 8 K / G L Y s O z G g 3 7 r A j 1 f H e n A A K D k J P Z Y 6 a 4 C y L H 3 w 4 < / D a t a M a s h u p > 
</file>

<file path=customXml/itemProps1.xml><?xml version="1.0" encoding="utf-8"?>
<ds:datastoreItem xmlns:ds="http://schemas.openxmlformats.org/officeDocument/2006/customXml" ds:itemID="{D4E12308-B6BD-4F9C-98A8-E5592D81D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NewTransfers</vt:lpstr>
      <vt:lpstr>ARS</vt:lpstr>
      <vt:lpstr>AVL</vt:lpstr>
      <vt:lpstr>BRE</vt:lpstr>
      <vt:lpstr>BHA</vt:lpstr>
      <vt:lpstr>BOU</vt:lpstr>
      <vt:lpstr>CHE</vt:lpstr>
      <vt:lpstr>CRY</vt:lpstr>
      <vt:lpstr>EVE</vt:lpstr>
      <vt:lpstr>FUL</vt:lpstr>
      <vt:lpstr>FOR</vt:lpstr>
      <vt:lpstr>LEE</vt:lpstr>
      <vt:lpstr>LEI</vt:lpstr>
      <vt:lpstr>LIV</vt:lpstr>
      <vt:lpstr>MCI</vt:lpstr>
      <vt:lpstr>MUN</vt:lpstr>
      <vt:lpstr>NEW</vt:lpstr>
      <vt:lpstr>SOU</vt:lpstr>
      <vt:lpstr>TOT</vt:lpstr>
      <vt:lpstr>WHU</vt:lpstr>
      <vt:lpstr>WOL</vt:lpstr>
      <vt:lpstr>PlayersByTeam</vt:lpstr>
      <vt:lpstr>PromotedPlayersByTeam</vt:lpstr>
      <vt:lpstr>Teams</vt:lpstr>
      <vt:lpstr>Games</vt:lpstr>
      <vt:lpstr>Fixtures</vt:lpstr>
      <vt:lpstr>CalcCS60</vt:lpstr>
      <vt:lpstr>LeagueChanges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Noden</dc:creator>
  <cp:lastModifiedBy>Ivan Noden</cp:lastModifiedBy>
  <dcterms:created xsi:type="dcterms:W3CDTF">2022-05-26T11:38:11Z</dcterms:created>
  <dcterms:modified xsi:type="dcterms:W3CDTF">2022-07-05T19:30:47Z</dcterms:modified>
</cp:coreProperties>
</file>