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isbarbosa\Desktop\"/>
    </mc:Choice>
  </mc:AlternateContent>
  <bookViews>
    <workbookView xWindow="0" yWindow="0" windowWidth="19200" windowHeight="7310"/>
  </bookViews>
  <sheets>
    <sheet name="RELATÓRIO" sheetId="1" r:id="rId1"/>
    <sheet name="DADOS" sheetId="2" r:id="rId2"/>
  </sheets>
  <definedNames>
    <definedName name="DIVIDENTOS_TOTAL">RELATÓRIO!$H$16</definedName>
    <definedName name="JUROS_RECEBIDOS">RELATÓRIO!$H$14</definedName>
    <definedName name="JUROS_TOTAL">RELATÓRIO!$H$14</definedName>
    <definedName name="MESES_REALIZADO">RELATÓRIO!$H$18</definedName>
    <definedName name="PERIODO_RESTANTE">RELATÓRIO!$H$28</definedName>
    <definedName name="RENTABILIDADE">RELATÓRIO!$H$20</definedName>
    <definedName name="SALDO_TOTAL">RELATÓRIO!$H$22</definedName>
    <definedName name="SM_APORTE">RELATÓRIO!$H$31</definedName>
    <definedName name="SM_APORTE_TOTAL">RELATÓRIO!$H$32</definedName>
    <definedName name="SM_DIVIDENDO">RELATÓRIO!$H$30</definedName>
    <definedName name="SM_MESES_FT">RELATÓRIO!$B$44:$B$49</definedName>
    <definedName name="SM_PERIODO_RESTANTE">RELATÓRIO!$H$28</definedName>
    <definedName name="SM_PERIODO_TOTAL">RELATÓRIO!$H$27</definedName>
    <definedName name="SM_TAXA_JUROS">RELATÓRIO!$H$29</definedName>
    <definedName name="SM_VALOR_TOTAL">RELATÓRIO!$H$34</definedName>
    <definedName name="TOTAL_INVESTIDO">RELATÓRIO!$H$12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H28" i="1" s="1"/>
  <c r="H14" i="1"/>
  <c r="I28" i="2"/>
  <c r="I29" i="2"/>
  <c r="I30" i="2"/>
  <c r="I31" i="2"/>
  <c r="I32" i="2"/>
  <c r="I33" i="2"/>
  <c r="H12" i="1"/>
  <c r="H4" i="2"/>
  <c r="H28" i="2"/>
  <c r="H29" i="2"/>
  <c r="H30" i="2"/>
  <c r="H31" i="2"/>
  <c r="H32" i="2"/>
  <c r="H33" i="2"/>
  <c r="F28" i="2"/>
  <c r="F29" i="2"/>
  <c r="F30" i="2"/>
  <c r="F31" i="2"/>
  <c r="F32" i="2"/>
  <c r="F33" i="2"/>
  <c r="G28" i="2"/>
  <c r="G29" i="2"/>
  <c r="G30" i="2"/>
  <c r="G31" i="2"/>
  <c r="G32" i="2"/>
  <c r="G33" i="2"/>
  <c r="G4" i="2"/>
  <c r="I4" i="2" s="1"/>
  <c r="B44" i="1" l="1"/>
  <c r="B46" i="1"/>
  <c r="B45" i="1"/>
  <c r="B47" i="1"/>
  <c r="B48" i="1"/>
  <c r="B49" i="1"/>
  <c r="F5" i="2" l="1"/>
  <c r="H5" i="2" l="1"/>
  <c r="G5" i="2"/>
  <c r="I5" i="2" s="1"/>
  <c r="F6" i="2" s="1"/>
  <c r="H6" i="2" l="1"/>
  <c r="G6" i="2"/>
  <c r="I6" i="2" l="1"/>
  <c r="F7" i="2" s="1"/>
  <c r="H7" i="2" l="1"/>
  <c r="G7" i="2"/>
  <c r="I7" i="2" l="1"/>
  <c r="F8" i="2" s="1"/>
  <c r="G8" i="2" l="1"/>
  <c r="I8" i="2" s="1"/>
  <c r="F9" i="2" s="1"/>
  <c r="H8" i="2"/>
  <c r="H9" i="2" l="1"/>
  <c r="G9" i="2"/>
  <c r="I9" i="2" s="1"/>
  <c r="F10" i="2" l="1"/>
  <c r="H10" i="2" l="1"/>
  <c r="G10" i="2"/>
  <c r="I10" i="2" s="1"/>
  <c r="F11" i="2" s="1"/>
  <c r="H11" i="2" l="1"/>
  <c r="G11" i="2"/>
  <c r="I11" i="2" s="1"/>
  <c r="F12" i="2" l="1"/>
  <c r="H12" i="2" l="1"/>
  <c r="G12" i="2"/>
  <c r="I12" i="2" s="1"/>
  <c r="F13" i="2" s="1"/>
  <c r="H13" i="2" l="1"/>
  <c r="G13" i="2"/>
  <c r="I13" i="2" s="1"/>
  <c r="F14" i="2" s="1"/>
  <c r="G14" i="2" l="1"/>
  <c r="I14" i="2" s="1"/>
  <c r="F15" i="2" s="1"/>
  <c r="H14" i="2"/>
  <c r="H15" i="2" l="1"/>
  <c r="G15" i="2"/>
  <c r="I15" i="2" s="1"/>
  <c r="F16" i="2" s="1"/>
  <c r="H16" i="2" l="1"/>
  <c r="G16" i="2"/>
  <c r="I16" i="2" l="1"/>
  <c r="F17" i="2" s="1"/>
  <c r="G17" i="2" l="1"/>
  <c r="I17" i="2" s="1"/>
  <c r="F18" i="2" s="1"/>
  <c r="H17" i="2"/>
  <c r="G18" i="2" l="1"/>
  <c r="I18" i="2" s="1"/>
  <c r="F19" i="2" s="1"/>
  <c r="H18" i="2"/>
  <c r="H19" i="2" l="1"/>
  <c r="G19" i="2"/>
  <c r="I19" i="2" s="1"/>
  <c r="F20" i="2" s="1"/>
  <c r="G20" i="2" l="1"/>
  <c r="I20" i="2" s="1"/>
  <c r="H20" i="2"/>
  <c r="C34" i="2"/>
  <c r="H31" i="1"/>
  <c r="H44" i="1" l="1"/>
  <c r="H48" i="1"/>
  <c r="H45" i="1"/>
  <c r="H46" i="1"/>
  <c r="H47" i="1"/>
  <c r="H49" i="1"/>
  <c r="H32" i="1"/>
  <c r="F21" i="2"/>
  <c r="H37" i="1" l="1"/>
  <c r="H21" i="2"/>
  <c r="H16" i="1" s="1"/>
  <c r="G21" i="2"/>
  <c r="I21" i="2" l="1"/>
  <c r="G34" i="2" l="1"/>
  <c r="I34" i="2" l="1"/>
  <c r="H22" i="1"/>
  <c r="H34" i="1" l="1"/>
  <c r="H39" i="1" s="1"/>
  <c r="J46" i="1"/>
  <c r="J44" i="1"/>
  <c r="J49" i="1"/>
  <c r="J47" i="1"/>
  <c r="J45" i="1"/>
  <c r="J48" i="1"/>
  <c r="H20" i="1"/>
  <c r="H38" i="1" l="1"/>
  <c r="H40" i="1"/>
  <c r="H41" i="1" s="1"/>
  <c r="K45" i="1"/>
  <c r="I45" i="1"/>
  <c r="I49" i="1"/>
  <c r="K49" i="1"/>
  <c r="K47" i="1"/>
  <c r="I47" i="1"/>
  <c r="I44" i="1"/>
  <c r="K44" i="1"/>
  <c r="I48" i="1"/>
  <c r="K48" i="1"/>
  <c r="I46" i="1"/>
  <c r="K46" i="1"/>
</calcChain>
</file>

<file path=xl/sharedStrings.xml><?xml version="1.0" encoding="utf-8"?>
<sst xmlns="http://schemas.openxmlformats.org/spreadsheetml/2006/main" count="43" uniqueCount="42">
  <si>
    <t>💰 SALDO TOTAL</t>
  </si>
  <si>
    <t>Mês</t>
  </si>
  <si>
    <t>Data</t>
  </si>
  <si>
    <t>Aporte</t>
  </si>
  <si>
    <t>Saldo Anterior</t>
  </si>
  <si>
    <t>Juros do Mês</t>
  </si>
  <si>
    <t>Dividendos</t>
  </si>
  <si>
    <t>Saldo Final</t>
  </si>
  <si>
    <t>Taxa de Rendimento Mensal</t>
  </si>
  <si>
    <t>Taxa de Rendimento Carteira</t>
  </si>
  <si>
    <t>INVESTIMENTOS COM APORTES VARIÁVEIS</t>
  </si>
  <si>
    <t xml:space="preserve">💼 INVESTIMENTOS: </t>
  </si>
  <si>
    <t xml:space="preserve">📥💰 JUROS RECEBIDOS: </t>
  </si>
  <si>
    <t xml:space="preserve">📥💰 DIVIDENDOS RECEBIDOS: </t>
  </si>
  <si>
    <t xml:space="preserve">💰 SALDO TOTAL: </t>
  </si>
  <si>
    <t xml:space="preserve">🔄 RENTABILIDADE TOTAL (%): </t>
  </si>
  <si>
    <t>TOTAL</t>
  </si>
  <si>
    <t xml:space="preserve">PERÍODO (MESES): </t>
  </si>
  <si>
    <t>SIMULADOR DE INVESTIMENTOS TOTAL COM A MÉDIA DOS APORTES</t>
  </si>
  <si>
    <t xml:space="preserve"> REALIZADO + SIMULADO</t>
  </si>
  <si>
    <t xml:space="preserve">PERÍODO RESTANTE EM MESES: </t>
  </si>
  <si>
    <t>RESUMO INVESTIMENTOS COM APORTES VARIÁVEIS REALIZADOS</t>
  </si>
  <si>
    <t xml:space="preserve">DIGITE O PERÍODO TOTAL (ANOS) QUE DESEJA INVESTIR: </t>
  </si>
  <si>
    <t xml:space="preserve">💰 SALDO TOTAL SIMULADO: </t>
  </si>
  <si>
    <t xml:space="preserve">TAXA DE JUROS: </t>
  </si>
  <si>
    <t xml:space="preserve">TAXA DE DIVIDENDOS MENSAIS: </t>
  </si>
  <si>
    <t xml:space="preserve">APORTE TOTAL PERÍODO RESTANTE: </t>
  </si>
  <si>
    <t xml:space="preserve">APORTE MÉDIO INVESTIDO: </t>
  </si>
  <si>
    <t xml:space="preserve">📥💰 DIVIDENDOS: </t>
  </si>
  <si>
    <t xml:space="preserve">JUROS RECEBIDO TOTAL: </t>
  </si>
  <si>
    <t xml:space="preserve">APORTE TOTAL: </t>
  </si>
  <si>
    <t xml:space="preserve">SALDO TOTAL: </t>
  </si>
  <si>
    <t>CENÁRIOS PARA O SIMULADOR</t>
  </si>
  <si>
    <t xml:space="preserve">QUANTO EM 2 ANOS? </t>
  </si>
  <si>
    <t xml:space="preserve">QUANTO EM 5 ANOS? </t>
  </si>
  <si>
    <t xml:space="preserve">QUANTO EM 10 ANOS? </t>
  </si>
  <si>
    <t xml:space="preserve">QUANTO EM 15 ANOS? </t>
  </si>
  <si>
    <t xml:space="preserve">QUANTO EM 20 ANOS? </t>
  </si>
  <si>
    <t xml:space="preserve">QUANTO EM 30 ANOS? </t>
  </si>
  <si>
    <t>🔄 RENTABILIDADE (%)</t>
  </si>
  <si>
    <t>💰 DIVIDENDOS TOTAL</t>
  </si>
  <si>
    <t>💼 VALOR INVESTIDO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</si>
</sst>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8" formatCode="0.0%"/>
    <numFmt numFmtId="170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Segoe UI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Segoe UI"/>
      <family val="2"/>
    </font>
    <font>
      <b/>
      <sz val="14"/>
      <color theme="0"/>
      <name val="Segoe UI"/>
      <family val="2"/>
    </font>
    <font>
      <b/>
      <sz val="10"/>
      <color theme="0"/>
      <name val="Segoe UI"/>
      <family val="2"/>
    </font>
    <font>
      <b/>
      <sz val="10"/>
      <color rgb="FF7030A0"/>
      <name val="Segoe UI"/>
      <family val="2"/>
    </font>
    <font>
      <b/>
      <sz val="11"/>
      <color rgb="FF8C52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C52FF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rgb="FF7030A0"/>
      </bottom>
      <diagonal/>
    </border>
    <border>
      <left style="thick">
        <color rgb="FF7030A0"/>
      </left>
      <right/>
      <top style="thick">
        <color rgb="FF7030A0"/>
      </top>
      <bottom style="double">
        <color rgb="FF7030A0"/>
      </bottom>
      <diagonal/>
    </border>
    <border>
      <left/>
      <right/>
      <top style="thick">
        <color rgb="FF7030A0"/>
      </top>
      <bottom style="double">
        <color rgb="FF7030A0"/>
      </bottom>
      <diagonal/>
    </border>
    <border>
      <left/>
      <right style="thick">
        <color rgb="FF7030A0"/>
      </right>
      <top style="thick">
        <color rgb="FF7030A0"/>
      </top>
      <bottom style="double">
        <color rgb="FF7030A0"/>
      </bottom>
      <diagonal/>
    </border>
    <border>
      <left style="thick">
        <color rgb="FF7030A0"/>
      </left>
      <right/>
      <top style="double">
        <color rgb="FF7030A0"/>
      </top>
      <bottom style="double">
        <color rgb="FF7030A0"/>
      </bottom>
      <diagonal/>
    </border>
    <border>
      <left/>
      <right/>
      <top style="double">
        <color rgb="FF7030A0"/>
      </top>
      <bottom style="double">
        <color rgb="FF7030A0"/>
      </bottom>
      <diagonal/>
    </border>
    <border>
      <left/>
      <right style="thick">
        <color rgb="FF7030A0"/>
      </right>
      <top style="double">
        <color rgb="FF7030A0"/>
      </top>
      <bottom style="double">
        <color rgb="FF7030A0"/>
      </bottom>
      <diagonal/>
    </border>
    <border>
      <left style="thick">
        <color rgb="FF7030A0"/>
      </left>
      <right/>
      <top style="double">
        <color rgb="FF7030A0"/>
      </top>
      <bottom style="thick">
        <color rgb="FF7030A0"/>
      </bottom>
      <diagonal/>
    </border>
    <border>
      <left/>
      <right/>
      <top style="double">
        <color rgb="FF7030A0"/>
      </top>
      <bottom style="thick">
        <color rgb="FF7030A0"/>
      </bottom>
      <diagonal/>
    </border>
    <border>
      <left/>
      <right style="thick">
        <color rgb="FF7030A0"/>
      </right>
      <top style="double">
        <color rgb="FF7030A0"/>
      </top>
      <bottom style="thick">
        <color rgb="FF7030A0"/>
      </bottom>
      <diagonal/>
    </border>
    <border>
      <left style="thick">
        <color rgb="FF7030A0"/>
      </left>
      <right style="thin">
        <color theme="2" tint="-0.499984740745262"/>
      </right>
      <top style="thick">
        <color rgb="FF7030A0"/>
      </top>
      <bottom style="double">
        <color rgb="FF7030A0"/>
      </bottom>
      <diagonal/>
    </border>
    <border>
      <left style="thin">
        <color theme="2" tint="-0.499984740745262"/>
      </left>
      <right style="thin">
        <color theme="2" tint="-0.499984740745262"/>
      </right>
      <top style="thick">
        <color rgb="FF7030A0"/>
      </top>
      <bottom style="double">
        <color rgb="FF7030A0"/>
      </bottom>
      <diagonal/>
    </border>
    <border>
      <left style="thin">
        <color theme="2" tint="-0.499984740745262"/>
      </left>
      <right style="thick">
        <color rgb="FF7030A0"/>
      </right>
      <top style="thick">
        <color rgb="FF7030A0"/>
      </top>
      <bottom style="double">
        <color rgb="FF7030A0"/>
      </bottom>
      <diagonal/>
    </border>
    <border>
      <left style="thick">
        <color rgb="FF7030A0"/>
      </left>
      <right style="thin">
        <color theme="2" tint="-0.499984740745262"/>
      </right>
      <top style="double">
        <color rgb="FF7030A0"/>
      </top>
      <bottom style="double">
        <color rgb="FF7030A0"/>
      </bottom>
      <diagonal/>
    </border>
    <border>
      <left style="thin">
        <color theme="2" tint="-0.499984740745262"/>
      </left>
      <right style="thin">
        <color theme="2" tint="-0.499984740745262"/>
      </right>
      <top style="double">
        <color rgb="FF7030A0"/>
      </top>
      <bottom style="double">
        <color rgb="FF7030A0"/>
      </bottom>
      <diagonal/>
    </border>
    <border>
      <left style="thin">
        <color theme="2" tint="-0.499984740745262"/>
      </left>
      <right style="thick">
        <color rgb="FF7030A0"/>
      </right>
      <top style="double">
        <color rgb="FF7030A0"/>
      </top>
      <bottom style="double">
        <color rgb="FF7030A0"/>
      </bottom>
      <diagonal/>
    </border>
    <border>
      <left style="thick">
        <color rgb="FF7030A0"/>
      </left>
      <right style="thin">
        <color theme="2" tint="-0.499984740745262"/>
      </right>
      <top style="double">
        <color rgb="FF7030A0"/>
      </top>
      <bottom style="thick">
        <color rgb="FF7030A0"/>
      </bottom>
      <diagonal/>
    </border>
    <border>
      <left style="thin">
        <color theme="2" tint="-0.499984740745262"/>
      </left>
      <right style="thin">
        <color theme="2" tint="-0.499984740745262"/>
      </right>
      <top style="double">
        <color rgb="FF7030A0"/>
      </top>
      <bottom style="thick">
        <color rgb="FF7030A0"/>
      </bottom>
      <diagonal/>
    </border>
    <border>
      <left style="thin">
        <color theme="2" tint="-0.499984740745262"/>
      </left>
      <right style="thick">
        <color rgb="FF7030A0"/>
      </right>
      <top style="double">
        <color rgb="FF7030A0"/>
      </top>
      <bottom style="thick">
        <color rgb="FF7030A0"/>
      </bottom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70" fontId="0" fillId="0" borderId="0" xfId="0" applyNumberFormat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170" fontId="6" fillId="2" borderId="3" xfId="0" applyNumberFormat="1" applyFont="1" applyFill="1" applyBorder="1" applyAlignment="1">
      <alignment horizontal="center" vertical="center"/>
    </xf>
    <xf numFmtId="170" fontId="6" fillId="2" borderId="4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170" fontId="6" fillId="2" borderId="6" xfId="0" applyNumberFormat="1" applyFont="1" applyFill="1" applyBorder="1" applyAlignment="1">
      <alignment horizontal="center" vertical="center"/>
    </xf>
    <xf numFmtId="170" fontId="6" fillId="2" borderId="7" xfId="0" applyNumberFormat="1" applyFont="1" applyFill="1" applyBorder="1" applyAlignment="1">
      <alignment horizontal="center" vertical="center"/>
    </xf>
    <xf numFmtId="10" fontId="6" fillId="2" borderId="6" xfId="2" applyNumberFormat="1" applyFont="1" applyFill="1" applyBorder="1" applyAlignment="1">
      <alignment horizontal="center" vertical="center"/>
    </xf>
    <xf numFmtId="10" fontId="6" fillId="2" borderId="7" xfId="2" applyNumberFormat="1" applyFont="1" applyFill="1" applyBorder="1" applyAlignment="1">
      <alignment horizontal="center" vertical="center"/>
    </xf>
    <xf numFmtId="0" fontId="6" fillId="2" borderId="6" xfId="2" applyNumberFormat="1" applyFont="1" applyFill="1" applyBorder="1" applyAlignment="1">
      <alignment horizontal="center" vertical="center"/>
    </xf>
    <xf numFmtId="0" fontId="6" fillId="2" borderId="7" xfId="2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14" fontId="6" fillId="3" borderId="0" xfId="0" applyNumberFormat="1" applyFont="1" applyFill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10" fontId="6" fillId="2" borderId="9" xfId="2" applyNumberFormat="1" applyFont="1" applyFill="1" applyBorder="1" applyAlignment="1">
      <alignment horizontal="center" vertical="center"/>
    </xf>
    <xf numFmtId="10" fontId="6" fillId="2" borderId="10" xfId="2" applyNumberFormat="1" applyFont="1" applyFill="1" applyBorder="1" applyAlignment="1">
      <alignment horizontal="center" vertical="center"/>
    </xf>
    <xf numFmtId="170" fontId="6" fillId="2" borderId="9" xfId="2" applyNumberFormat="1" applyFont="1" applyFill="1" applyBorder="1" applyAlignment="1">
      <alignment horizontal="center" vertical="center"/>
    </xf>
    <xf numFmtId="170" fontId="6" fillId="2" borderId="10" xfId="2" applyNumberFormat="1" applyFont="1" applyFill="1" applyBorder="1" applyAlignment="1">
      <alignment horizontal="center" vertical="center"/>
    </xf>
    <xf numFmtId="170" fontId="6" fillId="3" borderId="9" xfId="2" applyNumberFormat="1" applyFont="1" applyFill="1" applyBorder="1" applyAlignment="1">
      <alignment horizontal="center" vertical="center"/>
    </xf>
    <xf numFmtId="170" fontId="6" fillId="3" borderId="10" xfId="2" applyNumberFormat="1" applyFont="1" applyFill="1" applyBorder="1" applyAlignment="1">
      <alignment horizontal="center" vertical="center"/>
    </xf>
    <xf numFmtId="0" fontId="6" fillId="2" borderId="6" xfId="1" applyNumberFormat="1" applyFont="1" applyFill="1" applyBorder="1" applyAlignment="1">
      <alignment horizontal="center" vertical="center"/>
    </xf>
    <xf numFmtId="0" fontId="6" fillId="2" borderId="7" xfId="1" applyNumberFormat="1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170" fontId="6" fillId="3" borderId="6" xfId="0" applyNumberFormat="1" applyFont="1" applyFill="1" applyBorder="1" applyAlignment="1">
      <alignment horizontal="center" vertical="center"/>
    </xf>
    <xf numFmtId="170" fontId="6" fillId="3" borderId="7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  <xf numFmtId="170" fontId="6" fillId="2" borderId="6" xfId="2" applyNumberFormat="1" applyFont="1" applyFill="1" applyBorder="1" applyAlignment="1">
      <alignment horizontal="center" vertical="center"/>
    </xf>
    <xf numFmtId="0" fontId="2" fillId="0" borderId="0" xfId="0" applyFont="1" applyFill="1"/>
    <xf numFmtId="14" fontId="7" fillId="3" borderId="11" xfId="0" applyNumberFormat="1" applyFont="1" applyFill="1" applyBorder="1" applyAlignment="1">
      <alignment horizontal="center" vertical="center"/>
    </xf>
    <xf numFmtId="14" fontId="7" fillId="3" borderId="12" xfId="0" applyNumberFormat="1" applyFont="1" applyFill="1" applyBorder="1" applyAlignment="1">
      <alignment horizontal="center" vertical="center"/>
    </xf>
    <xf numFmtId="14" fontId="8" fillId="0" borderId="12" xfId="0" applyNumberFormat="1" applyFont="1" applyFill="1" applyBorder="1" applyAlignment="1">
      <alignment horizontal="center" vertical="center"/>
    </xf>
    <xf numFmtId="14" fontId="8" fillId="0" borderId="13" xfId="0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170" fontId="9" fillId="0" borderId="15" xfId="2" applyNumberFormat="1" applyFont="1" applyFill="1" applyBorder="1" applyAlignment="1">
      <alignment horizontal="center" vertical="center"/>
    </xf>
    <xf numFmtId="10" fontId="9" fillId="0" borderId="16" xfId="2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right" vertical="center"/>
    </xf>
    <xf numFmtId="0" fontId="3" fillId="0" borderId="18" xfId="0" applyFont="1" applyBorder="1" applyAlignment="1">
      <alignment horizontal="right" vertical="center"/>
    </xf>
    <xf numFmtId="170" fontId="9" fillId="0" borderId="18" xfId="2" applyNumberFormat="1" applyFont="1" applyFill="1" applyBorder="1" applyAlignment="1">
      <alignment horizontal="center" vertical="center"/>
    </xf>
    <xf numFmtId="10" fontId="9" fillId="0" borderId="19" xfId="2" applyNumberFormat="1" applyFont="1" applyFill="1" applyBorder="1" applyAlignment="1">
      <alignment horizontal="center" vertical="center"/>
    </xf>
    <xf numFmtId="170" fontId="6" fillId="2" borderId="5" xfId="0" applyNumberFormat="1" applyFont="1" applyFill="1" applyBorder="1" applyAlignment="1">
      <alignment horizontal="center" vertical="center"/>
    </xf>
    <xf numFmtId="170" fontId="6" fillId="3" borderId="9" xfId="0" applyNumberFormat="1" applyFont="1" applyFill="1" applyBorder="1" applyAlignment="1">
      <alignment horizontal="center" vertical="center"/>
    </xf>
    <xf numFmtId="170" fontId="6" fillId="3" borderId="10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170" fontId="6" fillId="3" borderId="21" xfId="2" applyNumberFormat="1" applyFont="1" applyFill="1" applyBorder="1" applyAlignment="1">
      <alignment horizontal="center" vertical="center"/>
    </xf>
    <xf numFmtId="170" fontId="6" fillId="3" borderId="22" xfId="2" applyNumberFormat="1" applyFont="1" applyFill="1" applyBorder="1" applyAlignment="1">
      <alignment horizontal="center" vertical="center"/>
    </xf>
    <xf numFmtId="168" fontId="6" fillId="2" borderId="6" xfId="2" applyNumberFormat="1" applyFont="1" applyFill="1" applyBorder="1" applyAlignment="1">
      <alignment horizontal="center" vertical="center"/>
    </xf>
    <xf numFmtId="168" fontId="6" fillId="2" borderId="7" xfId="2" applyNumberFormat="1" applyFont="1" applyFill="1" applyBorder="1" applyAlignment="1">
      <alignment horizontal="center" vertical="center"/>
    </xf>
    <xf numFmtId="170" fontId="6" fillId="2" borderId="7" xfId="2" applyNumberFormat="1" applyFont="1" applyFill="1" applyBorder="1" applyAlignment="1">
      <alignment horizontal="center" vertical="center"/>
    </xf>
    <xf numFmtId="0" fontId="6" fillId="3" borderId="3" xfId="2" applyNumberFormat="1" applyFont="1" applyFill="1" applyBorder="1" applyAlignment="1" applyProtection="1">
      <alignment horizontal="center" vertical="center"/>
      <protection locked="0"/>
    </xf>
    <xf numFmtId="0" fontId="6" fillId="3" borderId="4" xfId="2" applyNumberFormat="1" applyFont="1" applyFill="1" applyBorder="1" applyAlignment="1" applyProtection="1">
      <alignment horizontal="center" vertical="center"/>
      <protection locked="0"/>
    </xf>
    <xf numFmtId="14" fontId="4" fillId="3" borderId="0" xfId="0" applyNumberFormat="1" applyFont="1" applyFill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20">
    <dxf>
      <numFmt numFmtId="170" formatCode="&quot;R$&quot;\ #,##0.00"/>
      <alignment horizontal="center" vertical="center" textRotation="0" wrapText="0" indent="0" justifyLastLine="0" shrinkToFit="0" readingOrder="0"/>
    </dxf>
    <dxf>
      <numFmt numFmtId="170" formatCode="&quot;R$&quot;\ #,##0.00"/>
      <alignment horizontal="center" vertical="center" textRotation="0" wrapText="0" indent="0" justifyLastLine="0" shrinkToFit="0" readingOrder="0"/>
    </dxf>
    <dxf>
      <numFmt numFmtId="170" formatCode="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0" formatCode="&quot;R$&quot;\ #,##0.0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0" formatCode="&quot;R$&quot;\ #,##0.00"/>
      <alignment horizontal="center" vertical="center" textRotation="0" wrapText="0" indent="0" justifyLastLine="0" shrinkToFit="0" readingOrder="0"/>
    </dxf>
    <dxf>
      <numFmt numFmtId="170" formatCode="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0" formatCode="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8C52FF"/>
      <color rgb="FF510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152400</xdr:colOff>
      <xdr:row>0</xdr:row>
      <xdr:rowOff>152400</xdr:rowOff>
    </xdr:from>
    <xdr:to>
      <xdr:col>11</xdr:col>
      <xdr:colOff>84200</xdr:colOff>
      <xdr:row>8</xdr:row>
      <xdr:rowOff>82550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704850"/>
          <a:ext cx="9615550" cy="14033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B_DADOS" displayName="TB_DADOS" ref="A3:I34" totalsRowCount="1" headerRowDxfId="11" dataDxfId="16">
  <autoFilter ref="A3:I33"/>
  <tableColumns count="9">
    <tableColumn id="1" name="Mês" dataDxfId="15" totalsRowDxfId="8"/>
    <tableColumn id="2" name="Data" totalsRowLabel="TOTAL" dataDxfId="14" totalsRowDxfId="7"/>
    <tableColumn id="3" name="Aporte" totalsRowFunction="sum" dataDxfId="12" totalsRowDxfId="6"/>
    <tableColumn id="4" name="Taxa de Rendimento Mensal" dataDxfId="13" totalsRowDxfId="5"/>
    <tableColumn id="5" name="Taxa de Rendimento Carteira" dataDxfId="19" totalsRowDxfId="4"/>
    <tableColumn id="6" name="Saldo Anterior" dataDxfId="18" totalsRowDxfId="3"/>
    <tableColumn id="7" name="Juros do Mês" totalsRowFunction="sum" dataDxfId="17" totalsRowDxfId="2">
      <calculatedColumnFormula>IF(TB_DADOS[[#This Row],[Aporte]]="","",TB_DADOS[[#This Row],[Saldo Anterior]]*TB_DADOS[[#This Row],[Taxa de Rendimento Mensal]])</calculatedColumnFormula>
    </tableColumn>
    <tableColumn id="8" name="Dividendos" dataDxfId="10" totalsRowDxfId="1">
      <calculatedColumnFormula>IF(TB_DADOS[[#This Row],[Aporte]]="","",TB_DADOS[[#This Row],[Saldo Anterior]]*TB_DADOS[[#This Row],[Taxa de Rendimento Carteira]])</calculatedColumnFormula>
    </tableColumn>
    <tableColumn id="9" name="Saldo Final" totalsRowFunction="custom" dataDxfId="9" totalsRowDxfId="0">
      <calculatedColumnFormula>IF(TB_DADOS[[#This Row],[Aporte]]="","",TB_DADOS[[#This Row],[Aporte]]+TB_DADOS[[#This Row],[Saldo Anterior]]+TB_DADOS[[#This Row],[Juros do Mês]])</calculatedColumnFormula>
      <totalsRowFormula>TB_DADOS[[#Totals],[Aporte]]+TB_DADOS[[#Totals],[Juros do Mês]]+TB_DADOS[[#Totals],[Dividendos]]</totalsRow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C52FF"/>
    <pageSetUpPr fitToPage="1"/>
  </sheetPr>
  <dimension ref="B1:XFD58"/>
  <sheetViews>
    <sheetView showGridLines="0" tabSelected="1" zoomScaleNormal="100" workbookViewId="0">
      <selection activeCell="H27" sqref="H27:K27"/>
    </sheetView>
  </sheetViews>
  <sheetFormatPr defaultColWidth="0" defaultRowHeight="14.5" zeroHeight="1" x14ac:dyDescent="0.35"/>
  <cols>
    <col min="1" max="1" width="1.6328125" customWidth="1"/>
    <col min="2" max="2" width="3.81640625" bestFit="1" customWidth="1"/>
    <col min="3" max="3" width="13.7265625" customWidth="1"/>
    <col min="4" max="4" width="8.7265625" customWidth="1"/>
    <col min="5" max="6" width="9.90625" customWidth="1"/>
    <col min="7" max="7" width="8.7265625" customWidth="1"/>
    <col min="8" max="8" width="23.36328125" bestFit="1" customWidth="1"/>
    <col min="9" max="9" width="20.90625" bestFit="1" customWidth="1"/>
    <col min="10" max="10" width="16.36328125" bestFit="1" customWidth="1"/>
    <col min="11" max="11" width="23.1796875" bestFit="1" customWidth="1"/>
    <col min="12" max="12" width="1.7265625" customWidth="1"/>
    <col min="13" max="16383" width="8.7265625" hidden="1"/>
    <col min="16384" max="16384" width="2.453125" customWidth="1"/>
  </cols>
  <sheetData>
    <row r="1" spans="3:11" x14ac:dyDescent="0.35"/>
    <row r="2" spans="3:11" x14ac:dyDescent="0.35"/>
    <row r="3" spans="3:11" x14ac:dyDescent="0.35"/>
    <row r="4" spans="3:11" x14ac:dyDescent="0.35"/>
    <row r="5" spans="3:11" x14ac:dyDescent="0.35"/>
    <row r="6" spans="3:11" x14ac:dyDescent="0.35"/>
    <row r="7" spans="3:11" x14ac:dyDescent="0.35"/>
    <row r="8" spans="3:11" x14ac:dyDescent="0.35"/>
    <row r="9" spans="3:11" x14ac:dyDescent="0.35"/>
    <row r="10" spans="3:11" ht="21" x14ac:dyDescent="0.35">
      <c r="C10" s="33" t="s">
        <v>21</v>
      </c>
      <c r="D10" s="33"/>
      <c r="E10" s="33"/>
      <c r="F10" s="33"/>
      <c r="G10" s="33"/>
      <c r="H10" s="33"/>
      <c r="I10" s="33"/>
      <c r="J10" s="33"/>
      <c r="K10" s="33"/>
    </row>
    <row r="11" spans="3:11" ht="6.5" customHeight="1" thickBot="1" x14ac:dyDescent="0.4">
      <c r="G11" s="1"/>
      <c r="J11" s="1"/>
    </row>
    <row r="12" spans="3:11" ht="14.5" customHeight="1" thickTop="1" thickBot="1" x14ac:dyDescent="0.4">
      <c r="C12" s="16" t="s">
        <v>11</v>
      </c>
      <c r="D12" s="17"/>
      <c r="E12" s="17"/>
      <c r="F12" s="17"/>
      <c r="G12" s="30"/>
      <c r="H12" s="18">
        <f>SUM(DADOS!C4:C21)</f>
        <v>10500</v>
      </c>
      <c r="I12" s="18"/>
      <c r="J12" s="18"/>
      <c r="K12" s="19"/>
    </row>
    <row r="13" spans="3:11" ht="15" customHeight="1" thickTop="1" thickBot="1" x14ac:dyDescent="0.4">
      <c r="C13" s="20"/>
      <c r="D13" s="21"/>
      <c r="E13" s="21"/>
      <c r="F13" s="21"/>
      <c r="G13" s="31"/>
      <c r="H13" s="62"/>
      <c r="I13" s="22"/>
      <c r="J13" s="22"/>
      <c r="K13" s="23"/>
    </row>
    <row r="14" spans="3:11" ht="15.5" customHeight="1" thickTop="1" thickBot="1" x14ac:dyDescent="0.4">
      <c r="C14" s="20" t="s">
        <v>12</v>
      </c>
      <c r="D14" s="21"/>
      <c r="E14" s="21"/>
      <c r="F14" s="21"/>
      <c r="G14" s="31"/>
      <c r="H14" s="22">
        <f>SUM(DADOS!G4:G21)</f>
        <v>806.45104330318748</v>
      </c>
      <c r="I14" s="22"/>
      <c r="J14" s="22"/>
      <c r="K14" s="23"/>
    </row>
    <row r="15" spans="3:11" ht="15.5" customHeight="1" thickTop="1" thickBot="1" x14ac:dyDescent="0.4">
      <c r="C15" s="20"/>
      <c r="D15" s="21"/>
      <c r="E15" s="21"/>
      <c r="F15" s="21"/>
      <c r="G15" s="31"/>
      <c r="H15" s="22"/>
      <c r="I15" s="22"/>
      <c r="J15" s="22"/>
      <c r="K15" s="23"/>
    </row>
    <row r="16" spans="3:11" ht="15.5" customHeight="1" thickTop="1" thickBot="1" x14ac:dyDescent="0.4">
      <c r="C16" s="20" t="s">
        <v>13</v>
      </c>
      <c r="D16" s="21"/>
      <c r="E16" s="21"/>
      <c r="F16" s="21"/>
      <c r="G16" s="31"/>
      <c r="H16" s="22">
        <f>SUM(DADOS!H3:H33)</f>
        <v>537.50410560406101</v>
      </c>
      <c r="I16" s="22"/>
      <c r="J16" s="22"/>
      <c r="K16" s="23"/>
    </row>
    <row r="17" spans="3:11" ht="15" customHeight="1" thickTop="1" thickBot="1" x14ac:dyDescent="0.4">
      <c r="C17" s="20"/>
      <c r="D17" s="21"/>
      <c r="E17" s="21"/>
      <c r="F17" s="21"/>
      <c r="G17" s="31"/>
      <c r="H17" s="22"/>
      <c r="I17" s="22"/>
      <c r="J17" s="22"/>
      <c r="K17" s="23"/>
    </row>
    <row r="18" spans="3:11" ht="15.5" customHeight="1" thickTop="1" thickBot="1" x14ac:dyDescent="0.4">
      <c r="C18" s="20" t="s">
        <v>17</v>
      </c>
      <c r="D18" s="21"/>
      <c r="E18" s="21"/>
      <c r="F18" s="21"/>
      <c r="G18" s="31"/>
      <c r="H18" s="42">
        <f>DATEDIF(SMALL(DADOS!B4:B33,1), LARGE(DADOS!B4:B33,1), "m")+1</f>
        <v>18</v>
      </c>
      <c r="I18" s="42"/>
      <c r="J18" s="42"/>
      <c r="K18" s="43"/>
    </row>
    <row r="19" spans="3:11" ht="15.5" customHeight="1" thickTop="1" thickBot="1" x14ac:dyDescent="0.4">
      <c r="C19" s="20"/>
      <c r="D19" s="21"/>
      <c r="E19" s="21"/>
      <c r="F19" s="21"/>
      <c r="G19" s="31"/>
      <c r="H19" s="42"/>
      <c r="I19" s="42"/>
      <c r="J19" s="42"/>
      <c r="K19" s="43"/>
    </row>
    <row r="20" spans="3:11" ht="15.5" customHeight="1" thickTop="1" thickBot="1" x14ac:dyDescent="0.4">
      <c r="C20" s="20" t="s">
        <v>15</v>
      </c>
      <c r="D20" s="21"/>
      <c r="E20" s="21"/>
      <c r="F20" s="21"/>
      <c r="G20" s="31"/>
      <c r="H20" s="24">
        <f>(H22-H12)/H12</f>
        <v>7.6804861266970309E-2</v>
      </c>
      <c r="I20" s="24"/>
      <c r="J20" s="24"/>
      <c r="K20" s="25"/>
    </row>
    <row r="21" spans="3:11" ht="15.5" customHeight="1" thickTop="1" thickBot="1" x14ac:dyDescent="0.4">
      <c r="C21" s="20"/>
      <c r="D21" s="21"/>
      <c r="E21" s="21"/>
      <c r="F21" s="21"/>
      <c r="G21" s="31"/>
      <c r="H21" s="24"/>
      <c r="I21" s="24"/>
      <c r="J21" s="24"/>
      <c r="K21" s="25"/>
    </row>
    <row r="22" spans="3:11" ht="15.5" customHeight="1" thickTop="1" thickBot="1" x14ac:dyDescent="0.4">
      <c r="C22" s="20" t="s">
        <v>14</v>
      </c>
      <c r="D22" s="21"/>
      <c r="E22" s="21"/>
      <c r="F22" s="21"/>
      <c r="G22" s="31"/>
      <c r="H22" s="45">
        <f>SUM(H12:H12:K15)</f>
        <v>11306.451043303188</v>
      </c>
      <c r="I22" s="45"/>
      <c r="J22" s="45"/>
      <c r="K22" s="46"/>
    </row>
    <row r="23" spans="3:11" ht="15.5" customHeight="1" thickTop="1" thickBot="1" x14ac:dyDescent="0.4">
      <c r="C23" s="28"/>
      <c r="D23" s="29"/>
      <c r="E23" s="29"/>
      <c r="F23" s="29"/>
      <c r="G23" s="32"/>
      <c r="H23" s="63"/>
      <c r="I23" s="63"/>
      <c r="J23" s="63"/>
      <c r="K23" s="64"/>
    </row>
    <row r="24" spans="3:11" ht="15" thickTop="1" x14ac:dyDescent="0.35"/>
    <row r="25" spans="3:11" ht="21" x14ac:dyDescent="0.35">
      <c r="C25" s="33" t="s">
        <v>18</v>
      </c>
      <c r="D25" s="33"/>
      <c r="E25" s="33"/>
      <c r="F25" s="33"/>
      <c r="G25" s="33"/>
      <c r="H25" s="33"/>
      <c r="I25" s="33"/>
      <c r="J25" s="33"/>
      <c r="K25" s="33"/>
    </row>
    <row r="26" spans="3:11" ht="7" customHeight="1" thickBot="1" x14ac:dyDescent="0.4">
      <c r="G26" s="1"/>
      <c r="J26" s="1"/>
    </row>
    <row r="27" spans="3:11" ht="22" thickTop="1" thickBot="1" x14ac:dyDescent="0.4">
      <c r="C27" s="10" t="s">
        <v>22</v>
      </c>
      <c r="D27" s="11"/>
      <c r="E27" s="11"/>
      <c r="F27" s="11"/>
      <c r="G27" s="34"/>
      <c r="H27" s="73">
        <v>5</v>
      </c>
      <c r="I27" s="73"/>
      <c r="J27" s="73"/>
      <c r="K27" s="74"/>
    </row>
    <row r="28" spans="3:11" ht="22" thickTop="1" thickBot="1" x14ac:dyDescent="0.4">
      <c r="C28" s="12" t="s">
        <v>20</v>
      </c>
      <c r="D28" s="13"/>
      <c r="E28" s="13"/>
      <c r="F28" s="13"/>
      <c r="G28" s="35"/>
      <c r="H28" s="26">
        <f>(SM_PERIODO_TOTAL*12)-H18</f>
        <v>42</v>
      </c>
      <c r="I28" s="26"/>
      <c r="J28" s="26"/>
      <c r="K28" s="27"/>
    </row>
    <row r="29" spans="3:11" ht="22" thickTop="1" thickBot="1" x14ac:dyDescent="0.4">
      <c r="C29" s="12" t="s">
        <v>24</v>
      </c>
      <c r="D29" s="13"/>
      <c r="E29" s="13"/>
      <c r="F29" s="13"/>
      <c r="G29" s="35"/>
      <c r="H29" s="70">
        <v>8.0000000000000002E-3</v>
      </c>
      <c r="I29" s="70"/>
      <c r="J29" s="70"/>
      <c r="K29" s="71"/>
    </row>
    <row r="30" spans="3:11" ht="22" thickTop="1" thickBot="1" x14ac:dyDescent="0.4">
      <c r="C30" s="12" t="s">
        <v>25</v>
      </c>
      <c r="D30" s="13"/>
      <c r="E30" s="13"/>
      <c r="F30" s="13"/>
      <c r="G30" s="35"/>
      <c r="H30" s="70">
        <v>6.0000000000000001E-3</v>
      </c>
      <c r="I30" s="70"/>
      <c r="J30" s="70"/>
      <c r="K30" s="71"/>
    </row>
    <row r="31" spans="3:11" ht="22" thickTop="1" thickBot="1" x14ac:dyDescent="0.4">
      <c r="C31" s="12" t="s">
        <v>27</v>
      </c>
      <c r="D31" s="13"/>
      <c r="E31" s="13"/>
      <c r="F31" s="13"/>
      <c r="G31" s="35"/>
      <c r="H31" s="48">
        <f>AVERAGE(TB_DADOS[Aporte])</f>
        <v>583.33333333333337</v>
      </c>
      <c r="I31" s="48"/>
      <c r="J31" s="48"/>
      <c r="K31" s="72"/>
    </row>
    <row r="32" spans="3:11" ht="22" thickTop="1" thickBot="1" x14ac:dyDescent="0.4">
      <c r="C32" s="14" t="s">
        <v>26</v>
      </c>
      <c r="D32" s="15"/>
      <c r="E32" s="15"/>
      <c r="F32" s="15"/>
      <c r="G32" s="47"/>
      <c r="H32" s="38">
        <f>SM_APORTE*PERIODO_RESTANTE</f>
        <v>24500</v>
      </c>
      <c r="I32" s="38"/>
      <c r="J32" s="38"/>
      <c r="K32" s="39"/>
    </row>
    <row r="33" spans="2:11" ht="5.5" customHeight="1" thickTop="1" thickBot="1" x14ac:dyDescent="0.4"/>
    <row r="34" spans="2:11" ht="22" thickTop="1" thickBot="1" x14ac:dyDescent="0.4">
      <c r="C34" s="65" t="s">
        <v>23</v>
      </c>
      <c r="D34" s="66"/>
      <c r="E34" s="66"/>
      <c r="F34" s="66"/>
      <c r="G34" s="67"/>
      <c r="H34" s="68">
        <f>FV(SM_TAXA_JUROS,PERIODO_RESTANTE,-SM_APORTE,-SALDO_TOTAL)</f>
        <v>44782.57436958779</v>
      </c>
      <c r="I34" s="68"/>
      <c r="J34" s="68"/>
      <c r="K34" s="69"/>
    </row>
    <row r="35" spans="2:11" ht="9.5" customHeight="1" thickTop="1" x14ac:dyDescent="0.35"/>
    <row r="36" spans="2:11" ht="16.5" thickBot="1" x14ac:dyDescent="0.4">
      <c r="C36" s="44" t="s">
        <v>19</v>
      </c>
      <c r="D36" s="44"/>
      <c r="E36" s="44"/>
      <c r="F36" s="44"/>
      <c r="G36" s="44"/>
      <c r="H36" s="44"/>
      <c r="I36" s="44"/>
      <c r="J36" s="44"/>
      <c r="K36" s="44"/>
    </row>
    <row r="37" spans="2:11" ht="22" thickTop="1" thickBot="1" x14ac:dyDescent="0.4">
      <c r="C37" s="12" t="s">
        <v>30</v>
      </c>
      <c r="D37" s="13"/>
      <c r="E37" s="13"/>
      <c r="F37" s="13"/>
      <c r="G37" s="35"/>
      <c r="H37" s="38">
        <f>SM_APORTE_TOTAL+TOTAL_INVESTIDO</f>
        <v>35000</v>
      </c>
      <c r="I37" s="38"/>
      <c r="J37" s="38"/>
      <c r="K37" s="39"/>
    </row>
    <row r="38" spans="2:11" ht="22" thickTop="1" thickBot="1" x14ac:dyDescent="0.4">
      <c r="C38" s="12" t="s">
        <v>29</v>
      </c>
      <c r="D38" s="13"/>
      <c r="E38" s="13"/>
      <c r="F38" s="13"/>
      <c r="G38" s="35"/>
      <c r="H38" s="38">
        <f>SM_VALOR_TOTAL-H37</f>
        <v>9782.57436958779</v>
      </c>
      <c r="I38" s="38"/>
      <c r="J38" s="38"/>
      <c r="K38" s="39"/>
    </row>
    <row r="39" spans="2:11" ht="22" thickTop="1" thickBot="1" x14ac:dyDescent="0.4">
      <c r="C39" s="12" t="s">
        <v>28</v>
      </c>
      <c r="D39" s="13"/>
      <c r="E39" s="13"/>
      <c r="F39" s="13"/>
      <c r="G39" s="35"/>
      <c r="H39" s="38">
        <f>H34*SM_DIVIDENDO</f>
        <v>268.69544621752675</v>
      </c>
      <c r="I39" s="38"/>
      <c r="J39" s="38"/>
      <c r="K39" s="39"/>
    </row>
    <row r="40" spans="2:11" ht="22" thickTop="1" thickBot="1" x14ac:dyDescent="0.4">
      <c r="C40" s="12" t="s">
        <v>31</v>
      </c>
      <c r="D40" s="13"/>
      <c r="E40" s="13"/>
      <c r="F40" s="13"/>
      <c r="G40" s="35"/>
      <c r="H40" s="40">
        <f>SM_VALOR_TOTAL</f>
        <v>44782.57436958779</v>
      </c>
      <c r="I40" s="40"/>
      <c r="J40" s="40"/>
      <c r="K40" s="41"/>
    </row>
    <row r="41" spans="2:11" ht="22" thickTop="1" thickBot="1" x14ac:dyDescent="0.4">
      <c r="C41" s="12" t="s">
        <v>15</v>
      </c>
      <c r="D41" s="13"/>
      <c r="E41" s="13"/>
      <c r="F41" s="13"/>
      <c r="G41" s="35"/>
      <c r="H41" s="36">
        <f>(H40-H37)/H37</f>
        <v>0.27950212484536541</v>
      </c>
      <c r="I41" s="36"/>
      <c r="J41" s="36"/>
      <c r="K41" s="37"/>
    </row>
    <row r="42" spans="2:11" ht="15.5" thickTop="1" thickBot="1" x14ac:dyDescent="0.4"/>
    <row r="43" spans="2:11" ht="17" thickTop="1" thickBot="1" x14ac:dyDescent="0.4">
      <c r="C43" s="50" t="s">
        <v>32</v>
      </c>
      <c r="D43" s="51"/>
      <c r="E43" s="51"/>
      <c r="F43" s="51"/>
      <c r="G43" s="51"/>
      <c r="H43" s="52" t="s">
        <v>41</v>
      </c>
      <c r="I43" s="52" t="s">
        <v>40</v>
      </c>
      <c r="J43" s="52" t="s">
        <v>0</v>
      </c>
      <c r="K43" s="53" t="s">
        <v>39</v>
      </c>
    </row>
    <row r="44" spans="2:11" ht="17.5" thickTop="1" thickBot="1" x14ac:dyDescent="0.4">
      <c r="B44" s="49">
        <f>24-MESES_REALIZADO</f>
        <v>6</v>
      </c>
      <c r="C44" s="54" t="s">
        <v>33</v>
      </c>
      <c r="D44" s="55"/>
      <c r="E44" s="55"/>
      <c r="F44" s="55"/>
      <c r="G44" s="55"/>
      <c r="H44" s="56">
        <f>TOTAL_INVESTIDO+(SM_APORTE*B44)</f>
        <v>14000</v>
      </c>
      <c r="I44" s="56">
        <f>J44*SM_DIVIDENDO</f>
        <v>92.585295134148296</v>
      </c>
      <c r="J44" s="56">
        <f>FV(SM_TAXA_JUROS,B44,-SM_APORTE,-SALDO_TOTAL)</f>
        <v>15430.882522358048</v>
      </c>
      <c r="K44" s="57">
        <f>(J44-H44)/H44</f>
        <v>0.10220589445414628</v>
      </c>
    </row>
    <row r="45" spans="2:11" ht="17.5" thickTop="1" thickBot="1" x14ac:dyDescent="0.4">
      <c r="B45" s="49">
        <f>60-MESES_REALIZADO</f>
        <v>42</v>
      </c>
      <c r="C45" s="54" t="s">
        <v>34</v>
      </c>
      <c r="D45" s="55"/>
      <c r="E45" s="55"/>
      <c r="F45" s="55"/>
      <c r="G45" s="55"/>
      <c r="H45" s="56">
        <f>TOTAL_INVESTIDO+(SM_APORTE*B45)</f>
        <v>35000</v>
      </c>
      <c r="I45" s="56">
        <f>J45*SM_DIVIDENDO</f>
        <v>268.69544621752675</v>
      </c>
      <c r="J45" s="56">
        <f>FV(SM_TAXA_JUROS,B45,-SM_APORTE,-SALDO_TOTAL)</f>
        <v>44782.57436958779</v>
      </c>
      <c r="K45" s="57">
        <f t="shared" ref="K45:K49" si="0">(J45-H45)/H45</f>
        <v>0.27950212484536541</v>
      </c>
    </row>
    <row r="46" spans="2:11" ht="17.5" thickTop="1" thickBot="1" x14ac:dyDescent="0.4">
      <c r="B46" s="49">
        <f>120-MESES_REALIZADO</f>
        <v>102</v>
      </c>
      <c r="C46" s="54" t="s">
        <v>35</v>
      </c>
      <c r="D46" s="55"/>
      <c r="E46" s="55"/>
      <c r="F46" s="55"/>
      <c r="G46" s="55"/>
      <c r="H46" s="56">
        <f>TOTAL_INVESTIDO+(SM_APORTE*B46)</f>
        <v>70000</v>
      </c>
      <c r="I46" s="56">
        <f>J46*SM_DIVIDENDO</f>
        <v>701.5868528435426</v>
      </c>
      <c r="J46" s="56">
        <f>FV(SM_TAXA_JUROS,B46,-SM_APORTE,-SALDO_TOTAL)</f>
        <v>116931.14214059043</v>
      </c>
      <c r="K46" s="57">
        <f t="shared" si="0"/>
        <v>0.67044488772272037</v>
      </c>
    </row>
    <row r="47" spans="2:11" ht="17.5" thickTop="1" thickBot="1" x14ac:dyDescent="0.4">
      <c r="B47" s="49">
        <f>180-MESES_REALIZADO</f>
        <v>162</v>
      </c>
      <c r="C47" s="54" t="s">
        <v>36</v>
      </c>
      <c r="D47" s="55"/>
      <c r="E47" s="55"/>
      <c r="F47" s="55"/>
      <c r="G47" s="55"/>
      <c r="H47" s="56">
        <f>TOTAL_INVESTIDO+(SM_APORTE*B47)</f>
        <v>105000</v>
      </c>
      <c r="I47" s="56">
        <f>J47*SM_DIVIDENDO</f>
        <v>1399.8367674213755</v>
      </c>
      <c r="J47" s="56">
        <f>FV(SM_TAXA_JUROS,B47,-SM_APORTE,-SALDO_TOTAL)</f>
        <v>233306.12790356259</v>
      </c>
      <c r="K47" s="57">
        <f t="shared" si="0"/>
        <v>1.2219631228910723</v>
      </c>
    </row>
    <row r="48" spans="2:11" ht="17.5" thickTop="1" thickBot="1" x14ac:dyDescent="0.4">
      <c r="B48" s="49">
        <f>240-MESES_REALIZADO</f>
        <v>222</v>
      </c>
      <c r="C48" s="54" t="s">
        <v>37</v>
      </c>
      <c r="D48" s="55"/>
      <c r="E48" s="55"/>
      <c r="F48" s="55"/>
      <c r="G48" s="55"/>
      <c r="H48" s="56">
        <f>TOTAL_INVESTIDO+(SM_APORTE*B48)</f>
        <v>140000</v>
      </c>
      <c r="I48" s="56">
        <f>J48*SM_DIVIDENDO</f>
        <v>2526.1075497590778</v>
      </c>
      <c r="J48" s="56">
        <f>FV(SM_TAXA_JUROS,B48,-SM_APORTE,-SALDO_TOTAL)</f>
        <v>421017.92495984625</v>
      </c>
      <c r="K48" s="57">
        <f t="shared" si="0"/>
        <v>2.0072708925703302</v>
      </c>
    </row>
    <row r="49" spans="2:11" ht="17.5" thickTop="1" thickBot="1" x14ac:dyDescent="0.4">
      <c r="B49" s="49">
        <f>360-MESES_REALIZADO</f>
        <v>342</v>
      </c>
      <c r="C49" s="58" t="s">
        <v>38</v>
      </c>
      <c r="D49" s="59"/>
      <c r="E49" s="59"/>
      <c r="F49" s="59"/>
      <c r="G49" s="59"/>
      <c r="H49" s="60">
        <f>TOTAL_INVESTIDO+(SM_APORTE*B49)</f>
        <v>210000</v>
      </c>
      <c r="I49" s="60">
        <f>J49*SM_DIVIDENDO</f>
        <v>7273.0355812542011</v>
      </c>
      <c r="J49" s="60">
        <f>FV(SM_TAXA_JUROS,B49,-SM_APORTE,-SALDO_TOTAL)</f>
        <v>1212172.5968757002</v>
      </c>
      <c r="K49" s="61">
        <f t="shared" si="0"/>
        <v>4.7722504613128578</v>
      </c>
    </row>
    <row r="50" spans="2:11" ht="15" thickTop="1" x14ac:dyDescent="0.35"/>
    <row r="51" spans="2:11" x14ac:dyDescent="0.35"/>
    <row r="52" spans="2:11" x14ac:dyDescent="0.35"/>
    <row r="53" spans="2:11" x14ac:dyDescent="0.35"/>
    <row r="54" spans="2:11" x14ac:dyDescent="0.35"/>
    <row r="55" spans="2:11" x14ac:dyDescent="0.35"/>
    <row r="56" spans="2:11" x14ac:dyDescent="0.35"/>
    <row r="57" spans="2:11" x14ac:dyDescent="0.35"/>
    <row r="58" spans="2:11" x14ac:dyDescent="0.35"/>
  </sheetData>
  <sheetProtection algorithmName="SHA-512" hashValue="VKxFVZUDwPrV7RlzO/z3iEmqOPgm/IQLlpzZcIRwTtFkZmfhKvMX+VkK597kS02PKbm2Fdlf6HKH0CRloo+Ulw==" saltValue="hAMXIDz4eYdor2yx0lvOsA==" spinCount="100000" sheet="1" objects="1" scenarios="1"/>
  <mergeCells count="46">
    <mergeCell ref="C10:K10"/>
    <mergeCell ref="C25:K25"/>
    <mergeCell ref="C46:G46"/>
    <mergeCell ref="C47:G47"/>
    <mergeCell ref="C48:G48"/>
    <mergeCell ref="C49:G49"/>
    <mergeCell ref="C43:G43"/>
    <mergeCell ref="C36:K36"/>
    <mergeCell ref="C44:G44"/>
    <mergeCell ref="C45:G45"/>
    <mergeCell ref="C39:G39"/>
    <mergeCell ref="H39:K39"/>
    <mergeCell ref="C38:G38"/>
    <mergeCell ref="C37:G37"/>
    <mergeCell ref="C40:G40"/>
    <mergeCell ref="C41:G41"/>
    <mergeCell ref="H37:K37"/>
    <mergeCell ref="H38:K38"/>
    <mergeCell ref="H40:K40"/>
    <mergeCell ref="H41:K41"/>
    <mergeCell ref="C31:G31"/>
    <mergeCell ref="C32:G32"/>
    <mergeCell ref="C34:G34"/>
    <mergeCell ref="H29:K29"/>
    <mergeCell ref="H30:K30"/>
    <mergeCell ref="H31:K31"/>
    <mergeCell ref="H32:K32"/>
    <mergeCell ref="H34:K34"/>
    <mergeCell ref="H27:K27"/>
    <mergeCell ref="H28:K28"/>
    <mergeCell ref="C27:G27"/>
    <mergeCell ref="C28:G28"/>
    <mergeCell ref="C29:G29"/>
    <mergeCell ref="C30:G30"/>
    <mergeCell ref="C18:G19"/>
    <mergeCell ref="H12:K13"/>
    <mergeCell ref="H14:K15"/>
    <mergeCell ref="H16:K17"/>
    <mergeCell ref="H18:K19"/>
    <mergeCell ref="H20:K21"/>
    <mergeCell ref="H22:K23"/>
    <mergeCell ref="C12:G13"/>
    <mergeCell ref="C14:G15"/>
    <mergeCell ref="C16:G17"/>
    <mergeCell ref="C22:G23"/>
    <mergeCell ref="C20:G21"/>
  </mergeCells>
  <dataValidations count="1">
    <dataValidation type="custom" allowBlank="1" showInputMessage="1" showErrorMessage="1" errorTitle="ERRO" error="PERÍODO INVÁLIDO. DIGITE UM VALOR ENTRE 2 E 50" promptTitle="DIGITE UM VALOR ENTRE 1 E 50" sqref="H27:K27">
      <formula1>AND(H27&gt;=2, H27&lt;=50)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6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showGridLines="0" topLeftCell="A16" workbookViewId="0">
      <selection sqref="A1:I1"/>
    </sheetView>
  </sheetViews>
  <sheetFormatPr defaultColWidth="0" defaultRowHeight="14.5" x14ac:dyDescent="0.35"/>
  <cols>
    <col min="1" max="1" width="8.90625" style="2" bestFit="1" customWidth="1"/>
    <col min="2" max="2" width="10.453125" style="5" bestFit="1" customWidth="1"/>
    <col min="3" max="3" width="11.453125" style="6" customWidth="1"/>
    <col min="4" max="4" width="22.36328125" style="2" customWidth="1"/>
    <col min="5" max="5" width="22.7265625" style="2" customWidth="1"/>
    <col min="6" max="6" width="12.36328125" style="2" bestFit="1" customWidth="1"/>
    <col min="7" max="7" width="16.36328125" style="2" customWidth="1"/>
    <col min="8" max="8" width="14.6328125" style="2" customWidth="1"/>
    <col min="9" max="9" width="14.26953125" style="2" customWidth="1"/>
    <col min="10" max="10" width="8.7265625" customWidth="1"/>
    <col min="12" max="16384" width="8.7265625" hidden="1"/>
  </cols>
  <sheetData>
    <row r="1" spans="1:9" ht="18.5" x14ac:dyDescent="0.35">
      <c r="A1" s="75" t="s">
        <v>10</v>
      </c>
      <c r="B1" s="75"/>
      <c r="C1" s="75"/>
      <c r="D1" s="75"/>
      <c r="E1" s="75"/>
      <c r="F1" s="75"/>
      <c r="G1" s="75"/>
      <c r="H1" s="75"/>
      <c r="I1" s="75"/>
    </row>
    <row r="2" spans="1:9" ht="8" customHeight="1" x14ac:dyDescent="0.35"/>
    <row r="3" spans="1:9" ht="33" customHeight="1" x14ac:dyDescent="0.35">
      <c r="A3" s="7" t="s">
        <v>1</v>
      </c>
      <c r="B3" s="8" t="s">
        <v>2</v>
      </c>
      <c r="C3" s="9" t="s">
        <v>3</v>
      </c>
      <c r="D3" s="7" t="s">
        <v>8</v>
      </c>
      <c r="E3" s="7" t="s">
        <v>9</v>
      </c>
      <c r="F3" s="7" t="s">
        <v>4</v>
      </c>
      <c r="G3" s="7" t="s">
        <v>5</v>
      </c>
      <c r="H3" s="7" t="s">
        <v>6</v>
      </c>
      <c r="I3" s="7" t="s">
        <v>7</v>
      </c>
    </row>
    <row r="4" spans="1:9" x14ac:dyDescent="0.35">
      <c r="A4" s="2">
        <v>1</v>
      </c>
      <c r="B4" s="5">
        <v>45292</v>
      </c>
      <c r="C4" s="6">
        <v>500</v>
      </c>
      <c r="D4" s="4">
        <v>8.0000000000000002E-3</v>
      </c>
      <c r="E4" s="3">
        <v>6.0000000000000001E-3</v>
      </c>
      <c r="F4" s="6">
        <v>0</v>
      </c>
      <c r="G4" s="6">
        <f>IF(TB_DADOS[[#This Row],[Aporte]]="","",TB_DADOS[[#This Row],[Saldo Anterior]]*TB_DADOS[[#This Row],[Taxa de Rendimento Mensal]])</f>
        <v>0</v>
      </c>
      <c r="H4" s="6">
        <f>IF(TB_DADOS[[#This Row],[Aporte]]="","",TB_DADOS[[#This Row],[Saldo Anterior]]*TB_DADOS[[#This Row],[Taxa de Rendimento Carteira]])</f>
        <v>0</v>
      </c>
      <c r="I4" s="6">
        <f>IF(TB_DADOS[[#This Row],[Aporte]]="","",TB_DADOS[[#This Row],[Aporte]]+TB_DADOS[[#This Row],[Saldo Anterior]]+TB_DADOS[[#This Row],[Juros do Mês]])</f>
        <v>500</v>
      </c>
    </row>
    <row r="5" spans="1:9" x14ac:dyDescent="0.35">
      <c r="A5" s="2">
        <v>2</v>
      </c>
      <c r="B5" s="5">
        <v>45323</v>
      </c>
      <c r="C5" s="6">
        <v>800</v>
      </c>
      <c r="D5" s="4">
        <v>9.4000000000000004E-3</v>
      </c>
      <c r="E5" s="3">
        <v>6.0000000000000001E-3</v>
      </c>
      <c r="F5" s="6">
        <f>IF(TB_DADOS[[#This Row],[Aporte]]="","",I4)</f>
        <v>500</v>
      </c>
      <c r="G5" s="6">
        <f>IF(TB_DADOS[[#This Row],[Aporte]]="","",TB_DADOS[[#This Row],[Saldo Anterior]]*TB_DADOS[[#This Row],[Taxa de Rendimento Mensal]])</f>
        <v>4.7</v>
      </c>
      <c r="H5" s="6">
        <f>IF(TB_DADOS[[#This Row],[Aporte]]="","",TB_DADOS[[#This Row],[Saldo Anterior]]*TB_DADOS[[#This Row],[Taxa de Rendimento Carteira]])</f>
        <v>3</v>
      </c>
      <c r="I5" s="6">
        <f>IF(TB_DADOS[[#This Row],[Aporte]]="","",TB_DADOS[[#This Row],[Aporte]]+TB_DADOS[[#This Row],[Saldo Anterior]]+TB_DADOS[[#This Row],[Juros do Mês]])</f>
        <v>1304.7</v>
      </c>
    </row>
    <row r="6" spans="1:9" x14ac:dyDescent="0.35">
      <c r="A6" s="2">
        <v>3</v>
      </c>
      <c r="B6" s="5">
        <v>45352</v>
      </c>
      <c r="C6" s="6">
        <v>500</v>
      </c>
      <c r="D6" s="4">
        <v>8.3999999999999995E-3</v>
      </c>
      <c r="E6" s="3">
        <v>6.0000000000000001E-3</v>
      </c>
      <c r="F6" s="6">
        <f>IF(TB_DADOS[[#This Row],[Aporte]]="","",I5)</f>
        <v>1304.7</v>
      </c>
      <c r="G6" s="6">
        <f>IF(TB_DADOS[[#This Row],[Aporte]]="","",TB_DADOS[[#This Row],[Saldo Anterior]]*TB_DADOS[[#This Row],[Taxa de Rendimento Mensal]])</f>
        <v>10.959479999999999</v>
      </c>
      <c r="H6" s="6">
        <f>IF(TB_DADOS[[#This Row],[Aporte]]="","",TB_DADOS[[#This Row],[Saldo Anterior]]*TB_DADOS[[#This Row],[Taxa de Rendimento Carteira]])</f>
        <v>7.8282000000000007</v>
      </c>
      <c r="I6" s="6">
        <f>IF(TB_DADOS[[#This Row],[Aporte]]="","",TB_DADOS[[#This Row],[Aporte]]+TB_DADOS[[#This Row],[Saldo Anterior]]+TB_DADOS[[#This Row],[Juros do Mês]])</f>
        <v>1815.65948</v>
      </c>
    </row>
    <row r="7" spans="1:9" x14ac:dyDescent="0.35">
      <c r="A7" s="2">
        <v>4</v>
      </c>
      <c r="B7" s="5">
        <v>45383</v>
      </c>
      <c r="C7" s="6">
        <v>500</v>
      </c>
      <c r="D7" s="4">
        <v>1.04E-2</v>
      </c>
      <c r="E7" s="3">
        <v>6.0000000000000001E-3</v>
      </c>
      <c r="F7" s="6">
        <f>IF(TB_DADOS[[#This Row],[Aporte]]="","",I6)</f>
        <v>1815.65948</v>
      </c>
      <c r="G7" s="6">
        <f>IF(TB_DADOS[[#This Row],[Aporte]]="","",TB_DADOS[[#This Row],[Saldo Anterior]]*TB_DADOS[[#This Row],[Taxa de Rendimento Mensal]])</f>
        <v>18.882858591999998</v>
      </c>
      <c r="H7" s="6">
        <f>IF(TB_DADOS[[#This Row],[Aporte]]="","",TB_DADOS[[#This Row],[Saldo Anterior]]*TB_DADOS[[#This Row],[Taxa de Rendimento Carteira]])</f>
        <v>10.893956880000001</v>
      </c>
      <c r="I7" s="6">
        <f>IF(TB_DADOS[[#This Row],[Aporte]]="","",TB_DADOS[[#This Row],[Aporte]]+TB_DADOS[[#This Row],[Saldo Anterior]]+TB_DADOS[[#This Row],[Juros do Mês]])</f>
        <v>2334.5423385920003</v>
      </c>
    </row>
    <row r="8" spans="1:9" x14ac:dyDescent="0.35">
      <c r="A8" s="2">
        <v>5</v>
      </c>
      <c r="B8" s="5">
        <v>45413</v>
      </c>
      <c r="C8" s="6">
        <v>600</v>
      </c>
      <c r="D8" s="4">
        <v>8.0000000000000002E-3</v>
      </c>
      <c r="E8" s="3">
        <v>6.0000000000000001E-3</v>
      </c>
      <c r="F8" s="6">
        <f>IF(TB_DADOS[[#This Row],[Aporte]]="","",I7)</f>
        <v>2334.5423385920003</v>
      </c>
      <c r="G8" s="6">
        <f>IF(TB_DADOS[[#This Row],[Aporte]]="","",TB_DADOS[[#This Row],[Saldo Anterior]]*TB_DADOS[[#This Row],[Taxa de Rendimento Mensal]])</f>
        <v>18.676338708736004</v>
      </c>
      <c r="H8" s="6">
        <f>IF(TB_DADOS[[#This Row],[Aporte]]="","",TB_DADOS[[#This Row],[Saldo Anterior]]*TB_DADOS[[#This Row],[Taxa de Rendimento Carteira]])</f>
        <v>14.007254031552002</v>
      </c>
      <c r="I8" s="6">
        <f>IF(TB_DADOS[[#This Row],[Aporte]]="","",TB_DADOS[[#This Row],[Aporte]]+TB_DADOS[[#This Row],[Saldo Anterior]]+TB_DADOS[[#This Row],[Juros do Mês]])</f>
        <v>2953.2186773007361</v>
      </c>
    </row>
    <row r="9" spans="1:9" x14ac:dyDescent="0.35">
      <c r="A9" s="2">
        <v>6</v>
      </c>
      <c r="B9" s="5">
        <v>45444</v>
      </c>
      <c r="C9" s="6">
        <v>300</v>
      </c>
      <c r="D9" s="4">
        <v>8.6999999999999994E-3</v>
      </c>
      <c r="E9" s="3">
        <v>6.0000000000000001E-3</v>
      </c>
      <c r="F9" s="6">
        <f>IF(TB_DADOS[[#This Row],[Aporte]]="","",I8)</f>
        <v>2953.2186773007361</v>
      </c>
      <c r="G9" s="6">
        <f>IF(TB_DADOS[[#This Row],[Aporte]]="","",TB_DADOS[[#This Row],[Saldo Anterior]]*TB_DADOS[[#This Row],[Taxa de Rendimento Mensal]])</f>
        <v>25.693002492516403</v>
      </c>
      <c r="H9" s="6">
        <f>IF(TB_DADOS[[#This Row],[Aporte]]="","",TB_DADOS[[#This Row],[Saldo Anterior]]*TB_DADOS[[#This Row],[Taxa de Rendimento Carteira]])</f>
        <v>17.719312063804416</v>
      </c>
      <c r="I9" s="6">
        <f>IF(TB_DADOS[[#This Row],[Aporte]]="","",TB_DADOS[[#This Row],[Aporte]]+TB_DADOS[[#This Row],[Saldo Anterior]]+TB_DADOS[[#This Row],[Juros do Mês]])</f>
        <v>3278.9116797932525</v>
      </c>
    </row>
    <row r="10" spans="1:9" x14ac:dyDescent="0.35">
      <c r="A10" s="2">
        <v>7</v>
      </c>
      <c r="B10" s="5">
        <v>45474</v>
      </c>
      <c r="C10" s="6">
        <v>400</v>
      </c>
      <c r="D10" s="4">
        <v>1.0200000000000001E-2</v>
      </c>
      <c r="E10" s="3">
        <v>6.0000000000000001E-3</v>
      </c>
      <c r="F10" s="6">
        <f>IF(TB_DADOS[[#This Row],[Aporte]]="","",I9)</f>
        <v>3278.9116797932525</v>
      </c>
      <c r="G10" s="6">
        <f>IF(TB_DADOS[[#This Row],[Aporte]]="","",TB_DADOS[[#This Row],[Saldo Anterior]]*TB_DADOS[[#This Row],[Taxa de Rendimento Mensal]])</f>
        <v>33.444899133891177</v>
      </c>
      <c r="H10" s="6">
        <f>IF(TB_DADOS[[#This Row],[Aporte]]="","",TB_DADOS[[#This Row],[Saldo Anterior]]*TB_DADOS[[#This Row],[Taxa de Rendimento Carteira]])</f>
        <v>19.673470078759514</v>
      </c>
      <c r="I10" s="6">
        <f>IF(TB_DADOS[[#This Row],[Aporte]]="","",TB_DADOS[[#This Row],[Aporte]]+TB_DADOS[[#This Row],[Saldo Anterior]]+TB_DADOS[[#This Row],[Juros do Mês]])</f>
        <v>3712.3565789271438</v>
      </c>
    </row>
    <row r="11" spans="1:9" x14ac:dyDescent="0.35">
      <c r="A11" s="2">
        <v>8</v>
      </c>
      <c r="B11" s="5">
        <v>45505</v>
      </c>
      <c r="C11" s="6">
        <v>500</v>
      </c>
      <c r="D11" s="4">
        <v>8.0000000000000002E-3</v>
      </c>
      <c r="E11" s="3">
        <v>6.0000000000000001E-3</v>
      </c>
      <c r="F11" s="6">
        <f>IF(TB_DADOS[[#This Row],[Aporte]]="","",I10)</f>
        <v>3712.3565789271438</v>
      </c>
      <c r="G11" s="6">
        <f>IF(TB_DADOS[[#This Row],[Aporte]]="","",TB_DADOS[[#This Row],[Saldo Anterior]]*TB_DADOS[[#This Row],[Taxa de Rendimento Mensal]])</f>
        <v>29.69885263141715</v>
      </c>
      <c r="H11" s="6">
        <f>IF(TB_DADOS[[#This Row],[Aporte]]="","",TB_DADOS[[#This Row],[Saldo Anterior]]*TB_DADOS[[#This Row],[Taxa de Rendimento Carteira]])</f>
        <v>22.274139473562862</v>
      </c>
      <c r="I11" s="6">
        <f>IF(TB_DADOS[[#This Row],[Aporte]]="","",TB_DADOS[[#This Row],[Aporte]]+TB_DADOS[[#This Row],[Saldo Anterior]]+TB_DADOS[[#This Row],[Juros do Mês]])</f>
        <v>4242.0554315585605</v>
      </c>
    </row>
    <row r="12" spans="1:9" x14ac:dyDescent="0.35">
      <c r="A12" s="2">
        <v>9</v>
      </c>
      <c r="B12" s="5">
        <v>45536</v>
      </c>
      <c r="C12" s="6">
        <v>500</v>
      </c>
      <c r="D12" s="4">
        <v>9.2999999999999992E-3</v>
      </c>
      <c r="E12" s="3">
        <v>6.0000000000000001E-3</v>
      </c>
      <c r="F12" s="6">
        <f>IF(TB_DADOS[[#This Row],[Aporte]]="","",I11)</f>
        <v>4242.0554315585605</v>
      </c>
      <c r="G12" s="6">
        <f>IF(TB_DADOS[[#This Row],[Aporte]]="","",TB_DADOS[[#This Row],[Saldo Anterior]]*TB_DADOS[[#This Row],[Taxa de Rendimento Mensal]])</f>
        <v>39.451115513494607</v>
      </c>
      <c r="H12" s="6">
        <f>IF(TB_DADOS[[#This Row],[Aporte]]="","",TB_DADOS[[#This Row],[Saldo Anterior]]*TB_DADOS[[#This Row],[Taxa de Rendimento Carteira]])</f>
        <v>25.452332589351364</v>
      </c>
      <c r="I12" s="6">
        <f>IF(TB_DADOS[[#This Row],[Aporte]]="","",TB_DADOS[[#This Row],[Aporte]]+TB_DADOS[[#This Row],[Saldo Anterior]]+TB_DADOS[[#This Row],[Juros do Mês]])</f>
        <v>4781.5065470720547</v>
      </c>
    </row>
    <row r="13" spans="1:9" x14ac:dyDescent="0.35">
      <c r="A13" s="2">
        <v>10</v>
      </c>
      <c r="B13" s="5">
        <v>45566</v>
      </c>
      <c r="C13" s="6">
        <v>500</v>
      </c>
      <c r="D13" s="4">
        <v>1.03E-2</v>
      </c>
      <c r="E13" s="3">
        <v>6.0000000000000001E-3</v>
      </c>
      <c r="F13" s="6">
        <f>IF(TB_DADOS[[#This Row],[Aporte]]="","",I12)</f>
        <v>4781.5065470720547</v>
      </c>
      <c r="G13" s="6">
        <f>IF(TB_DADOS[[#This Row],[Aporte]]="","",TB_DADOS[[#This Row],[Saldo Anterior]]*TB_DADOS[[#This Row],[Taxa de Rendimento Mensal]])</f>
        <v>49.249517434842161</v>
      </c>
      <c r="H13" s="6">
        <f>IF(TB_DADOS[[#This Row],[Aporte]]="","",TB_DADOS[[#This Row],[Saldo Anterior]]*TB_DADOS[[#This Row],[Taxa de Rendimento Carteira]])</f>
        <v>28.689039282432329</v>
      </c>
      <c r="I13" s="6">
        <f>IF(TB_DADOS[[#This Row],[Aporte]]="","",TB_DADOS[[#This Row],[Aporte]]+TB_DADOS[[#This Row],[Saldo Anterior]]+TB_DADOS[[#This Row],[Juros do Mês]])</f>
        <v>5330.756064506897</v>
      </c>
    </row>
    <row r="14" spans="1:9" x14ac:dyDescent="0.35">
      <c r="A14" s="2">
        <v>11</v>
      </c>
      <c r="B14" s="5">
        <v>45597</v>
      </c>
      <c r="C14" s="6">
        <v>600</v>
      </c>
      <c r="D14" s="4">
        <v>8.0000000000000002E-3</v>
      </c>
      <c r="E14" s="3">
        <v>6.0000000000000001E-3</v>
      </c>
      <c r="F14" s="6">
        <f>IF(TB_DADOS[[#This Row],[Aporte]]="","",I13)</f>
        <v>5330.756064506897</v>
      </c>
      <c r="G14" s="6">
        <f>IF(TB_DADOS[[#This Row],[Aporte]]="","",TB_DADOS[[#This Row],[Saldo Anterior]]*TB_DADOS[[#This Row],[Taxa de Rendimento Mensal]])</f>
        <v>42.646048516055174</v>
      </c>
      <c r="H14" s="6">
        <f>IF(TB_DADOS[[#This Row],[Aporte]]="","",TB_DADOS[[#This Row],[Saldo Anterior]]*TB_DADOS[[#This Row],[Taxa de Rendimento Carteira]])</f>
        <v>31.984536387041384</v>
      </c>
      <c r="I14" s="6">
        <f>IF(TB_DADOS[[#This Row],[Aporte]]="","",TB_DADOS[[#This Row],[Aporte]]+TB_DADOS[[#This Row],[Saldo Anterior]]+TB_DADOS[[#This Row],[Juros do Mês]])</f>
        <v>5973.4021130229521</v>
      </c>
    </row>
    <row r="15" spans="1:9" x14ac:dyDescent="0.35">
      <c r="A15" s="2">
        <v>12</v>
      </c>
      <c r="B15" s="5">
        <v>45627</v>
      </c>
      <c r="C15" s="6">
        <v>800</v>
      </c>
      <c r="D15" s="4">
        <v>9.4000000000000004E-3</v>
      </c>
      <c r="E15" s="3">
        <v>6.0000000000000001E-3</v>
      </c>
      <c r="F15" s="6">
        <f>IF(TB_DADOS[[#This Row],[Aporte]]="","",I14)</f>
        <v>5973.4021130229521</v>
      </c>
      <c r="G15" s="6">
        <f>IF(TB_DADOS[[#This Row],[Aporte]]="","",TB_DADOS[[#This Row],[Saldo Anterior]]*TB_DADOS[[#This Row],[Taxa de Rendimento Mensal]])</f>
        <v>56.149979862415755</v>
      </c>
      <c r="H15" s="6">
        <f>IF(TB_DADOS[[#This Row],[Aporte]]="","",TB_DADOS[[#This Row],[Saldo Anterior]]*TB_DADOS[[#This Row],[Taxa de Rendimento Carteira]])</f>
        <v>35.84041267813771</v>
      </c>
      <c r="I15" s="6">
        <f>IF(TB_DADOS[[#This Row],[Aporte]]="","",TB_DADOS[[#This Row],[Aporte]]+TB_DADOS[[#This Row],[Saldo Anterior]]+TB_DADOS[[#This Row],[Juros do Mês]])</f>
        <v>6829.5520928853675</v>
      </c>
    </row>
    <row r="16" spans="1:9" x14ac:dyDescent="0.35">
      <c r="A16" s="2">
        <v>13</v>
      </c>
      <c r="B16" s="5">
        <v>45658</v>
      </c>
      <c r="C16" s="6">
        <v>800</v>
      </c>
      <c r="D16" s="4">
        <v>8.3999999999999995E-3</v>
      </c>
      <c r="E16" s="3">
        <v>6.0000000000000001E-3</v>
      </c>
      <c r="F16" s="6">
        <f>IF(TB_DADOS[[#This Row],[Aporte]]="","",I15)</f>
        <v>6829.5520928853675</v>
      </c>
      <c r="G16" s="6">
        <f>IF(TB_DADOS[[#This Row],[Aporte]]="","",TB_DADOS[[#This Row],[Saldo Anterior]]*TB_DADOS[[#This Row],[Taxa de Rendimento Mensal]])</f>
        <v>57.368237580237086</v>
      </c>
      <c r="H16" s="6">
        <f>IF(TB_DADOS[[#This Row],[Aporte]]="","",TB_DADOS[[#This Row],[Saldo Anterior]]*TB_DADOS[[#This Row],[Taxa de Rendimento Carteira]])</f>
        <v>40.977312557312203</v>
      </c>
      <c r="I16" s="6">
        <f>IF(TB_DADOS[[#This Row],[Aporte]]="","",TB_DADOS[[#This Row],[Aporte]]+TB_DADOS[[#This Row],[Saldo Anterior]]+TB_DADOS[[#This Row],[Juros do Mês]])</f>
        <v>7686.9203304656048</v>
      </c>
    </row>
    <row r="17" spans="1:9" x14ac:dyDescent="0.35">
      <c r="A17" s="2">
        <v>14</v>
      </c>
      <c r="B17" s="5">
        <v>45689</v>
      </c>
      <c r="C17" s="6">
        <v>800</v>
      </c>
      <c r="D17" s="4">
        <v>1.04E-2</v>
      </c>
      <c r="E17" s="3">
        <v>6.0000000000000001E-3</v>
      </c>
      <c r="F17" s="6">
        <f>IF(TB_DADOS[[#This Row],[Aporte]]="","",I16)</f>
        <v>7686.9203304656048</v>
      </c>
      <c r="G17" s="6">
        <f>IF(TB_DADOS[[#This Row],[Aporte]]="","",TB_DADOS[[#This Row],[Saldo Anterior]]*TB_DADOS[[#This Row],[Taxa de Rendimento Mensal]])</f>
        <v>79.94397143684229</v>
      </c>
      <c r="H17" s="6">
        <f>IF(TB_DADOS[[#This Row],[Aporte]]="","",TB_DADOS[[#This Row],[Saldo Anterior]]*TB_DADOS[[#This Row],[Taxa de Rendimento Carteira]])</f>
        <v>46.121521982793631</v>
      </c>
      <c r="I17" s="6">
        <f>IF(TB_DADOS[[#This Row],[Aporte]]="","",TB_DADOS[[#This Row],[Aporte]]+TB_DADOS[[#This Row],[Saldo Anterior]]+TB_DADOS[[#This Row],[Juros do Mês]])</f>
        <v>8566.8643019024457</v>
      </c>
    </row>
    <row r="18" spans="1:9" x14ac:dyDescent="0.35">
      <c r="A18" s="2">
        <v>15</v>
      </c>
      <c r="B18" s="5">
        <v>45717</v>
      </c>
      <c r="C18" s="6">
        <v>800</v>
      </c>
      <c r="D18" s="4">
        <v>8.0000000000000002E-3</v>
      </c>
      <c r="E18" s="3">
        <v>6.0000000000000001E-3</v>
      </c>
      <c r="F18" s="6">
        <f>IF(TB_DADOS[[#This Row],[Aporte]]="","",I17)</f>
        <v>8566.8643019024457</v>
      </c>
      <c r="G18" s="6">
        <f>IF(TB_DADOS[[#This Row],[Aporte]]="","",TB_DADOS[[#This Row],[Saldo Anterior]]*TB_DADOS[[#This Row],[Taxa de Rendimento Mensal]])</f>
        <v>68.534914415219561</v>
      </c>
      <c r="H18" s="6">
        <f>IF(TB_DADOS[[#This Row],[Aporte]]="","",TB_DADOS[[#This Row],[Saldo Anterior]]*TB_DADOS[[#This Row],[Taxa de Rendimento Carteira]])</f>
        <v>51.401185811414678</v>
      </c>
      <c r="I18" s="6">
        <f>IF(TB_DADOS[[#This Row],[Aporte]]="","",TB_DADOS[[#This Row],[Aporte]]+TB_DADOS[[#This Row],[Saldo Anterior]]+TB_DADOS[[#This Row],[Juros do Mês]])</f>
        <v>9435.3992163176645</v>
      </c>
    </row>
    <row r="19" spans="1:9" x14ac:dyDescent="0.35">
      <c r="A19" s="2">
        <v>16</v>
      </c>
      <c r="B19" s="5">
        <v>45748</v>
      </c>
      <c r="C19" s="6">
        <v>600</v>
      </c>
      <c r="D19" s="4">
        <v>8.6999999999999994E-3</v>
      </c>
      <c r="E19" s="3">
        <v>6.0000000000000001E-3</v>
      </c>
      <c r="F19" s="6">
        <f>IF(TB_DADOS[[#This Row],[Aporte]]="","",I18)</f>
        <v>9435.3992163176645</v>
      </c>
      <c r="G19" s="6">
        <f>IF(TB_DADOS[[#This Row],[Aporte]]="","",TB_DADOS[[#This Row],[Saldo Anterior]]*TB_DADOS[[#This Row],[Taxa de Rendimento Mensal]])</f>
        <v>82.087973181963676</v>
      </c>
      <c r="H19" s="6">
        <f>IF(TB_DADOS[[#This Row],[Aporte]]="","",TB_DADOS[[#This Row],[Saldo Anterior]]*TB_DADOS[[#This Row],[Taxa de Rendimento Carteira]])</f>
        <v>56.612395297905991</v>
      </c>
      <c r="I19" s="6">
        <f>IF(TB_DADOS[[#This Row],[Aporte]]="","",TB_DADOS[[#This Row],[Aporte]]+TB_DADOS[[#This Row],[Saldo Anterior]]+TB_DADOS[[#This Row],[Juros do Mês]])</f>
        <v>10117.487189499629</v>
      </c>
    </row>
    <row r="20" spans="1:9" x14ac:dyDescent="0.35">
      <c r="A20" s="2">
        <v>17</v>
      </c>
      <c r="B20" s="5">
        <v>45778</v>
      </c>
      <c r="C20" s="6">
        <v>500</v>
      </c>
      <c r="D20" s="4">
        <v>1.0200000000000001E-2</v>
      </c>
      <c r="E20" s="3">
        <v>6.0000000000000001E-3</v>
      </c>
      <c r="F20" s="6">
        <f>IF(TB_DADOS[[#This Row],[Aporte]]="","",I19)</f>
        <v>10117.487189499629</v>
      </c>
      <c r="G20" s="6">
        <f>IF(TB_DADOS[[#This Row],[Aporte]]="","",TB_DADOS[[#This Row],[Saldo Anterior]]*TB_DADOS[[#This Row],[Taxa de Rendimento Mensal]])</f>
        <v>103.19836933289622</v>
      </c>
      <c r="H20" s="6">
        <f>IF(TB_DADOS[[#This Row],[Aporte]]="","",TB_DADOS[[#This Row],[Saldo Anterior]]*TB_DADOS[[#This Row],[Taxa de Rendimento Carteira]])</f>
        <v>60.70492313699777</v>
      </c>
      <c r="I20" s="6">
        <f>IF(TB_DADOS[[#This Row],[Aporte]]="","",TB_DADOS[[#This Row],[Aporte]]+TB_DADOS[[#This Row],[Saldo Anterior]]+TB_DADOS[[#This Row],[Juros do Mês]])</f>
        <v>10720.685558832525</v>
      </c>
    </row>
    <row r="21" spans="1:9" x14ac:dyDescent="0.35">
      <c r="A21" s="2">
        <v>18</v>
      </c>
      <c r="B21" s="5">
        <v>45809</v>
      </c>
      <c r="C21" s="6">
        <v>500</v>
      </c>
      <c r="D21" s="4">
        <v>8.0000000000000002E-3</v>
      </c>
      <c r="E21" s="3">
        <v>6.0000000000000001E-3</v>
      </c>
      <c r="F21" s="6">
        <f>IF(TB_DADOS[[#This Row],[Aporte]]="","",I20)</f>
        <v>10720.685558832525</v>
      </c>
      <c r="G21" s="6">
        <f>IF(TB_DADOS[[#This Row],[Aporte]]="","",TB_DADOS[[#This Row],[Saldo Anterior]]*TB_DADOS[[#This Row],[Taxa de Rendimento Mensal]])</f>
        <v>85.765484470660198</v>
      </c>
      <c r="H21" s="6">
        <f>IF(TB_DADOS[[#This Row],[Aporte]]="","",TB_DADOS[[#This Row],[Saldo Anterior]]*TB_DADOS[[#This Row],[Taxa de Rendimento Carteira]])</f>
        <v>64.324113352995155</v>
      </c>
      <c r="I21" s="6">
        <f>IF(TB_DADOS[[#This Row],[Aporte]]="","",TB_DADOS[[#This Row],[Aporte]]+TB_DADOS[[#This Row],[Saldo Anterior]]+TB_DADOS[[#This Row],[Juros do Mês]])</f>
        <v>11306.451043303185</v>
      </c>
    </row>
    <row r="22" spans="1:9" x14ac:dyDescent="0.35">
      <c r="A22" s="2">
        <v>19</v>
      </c>
      <c r="D22" s="4"/>
      <c r="E22" s="4"/>
      <c r="F22" s="6"/>
      <c r="G22" s="6"/>
      <c r="H22" s="6"/>
      <c r="I22" s="6"/>
    </row>
    <row r="23" spans="1:9" x14ac:dyDescent="0.35">
      <c r="A23" s="2">
        <v>20</v>
      </c>
      <c r="D23" s="4"/>
      <c r="E23" s="4"/>
      <c r="F23" s="6"/>
      <c r="G23" s="6"/>
      <c r="H23" s="6"/>
      <c r="I23" s="6"/>
    </row>
    <row r="24" spans="1:9" x14ac:dyDescent="0.35">
      <c r="A24" s="2">
        <v>21</v>
      </c>
      <c r="D24" s="4"/>
      <c r="E24" s="4"/>
      <c r="F24" s="6"/>
      <c r="G24" s="6"/>
      <c r="H24" s="6"/>
      <c r="I24" s="6"/>
    </row>
    <row r="25" spans="1:9" x14ac:dyDescent="0.35">
      <c r="A25" s="2">
        <v>22</v>
      </c>
      <c r="D25" s="4"/>
      <c r="E25" s="4"/>
      <c r="F25" s="6"/>
      <c r="G25" s="6"/>
      <c r="H25" s="6"/>
      <c r="I25" s="6"/>
    </row>
    <row r="26" spans="1:9" x14ac:dyDescent="0.35">
      <c r="A26" s="2">
        <v>23</v>
      </c>
      <c r="D26" s="4"/>
      <c r="E26" s="4"/>
      <c r="F26" s="6"/>
      <c r="G26" s="6"/>
      <c r="H26" s="6"/>
      <c r="I26" s="6"/>
    </row>
    <row r="27" spans="1:9" x14ac:dyDescent="0.35">
      <c r="A27" s="2">
        <v>24</v>
      </c>
      <c r="D27" s="4"/>
      <c r="E27" s="4"/>
      <c r="F27" s="6"/>
      <c r="G27" s="6"/>
      <c r="H27" s="6"/>
      <c r="I27" s="6"/>
    </row>
    <row r="28" spans="1:9" x14ac:dyDescent="0.35">
      <c r="A28" s="2">
        <v>25</v>
      </c>
      <c r="F28" s="6" t="str">
        <f>IF(TB_DADOS[[#This Row],[Aporte]]="","",I27)</f>
        <v/>
      </c>
      <c r="G28" s="6" t="str">
        <f>IF(TB_DADOS[[#This Row],[Aporte]]="","",TB_DADOS[[#This Row],[Saldo Anterior]]*TB_DADOS[[#This Row],[Taxa de Rendimento Mensal]])</f>
        <v/>
      </c>
      <c r="H28" s="6" t="str">
        <f>IF(TB_DADOS[[#This Row],[Aporte]]="","",TB_DADOS[[#This Row],[Saldo Anterior]]*TB_DADOS[[#This Row],[Taxa de Rendimento Carteira]])</f>
        <v/>
      </c>
      <c r="I28" s="6" t="str">
        <f>IF(TB_DADOS[[#This Row],[Aporte]]="","",TB_DADOS[[#This Row],[Aporte]]+TB_DADOS[[#This Row],[Saldo Anterior]]+TB_DADOS[[#This Row],[Juros do Mês]])</f>
        <v/>
      </c>
    </row>
    <row r="29" spans="1:9" x14ac:dyDescent="0.35">
      <c r="A29" s="2">
        <v>26</v>
      </c>
      <c r="F29" s="6" t="str">
        <f>IF(TB_DADOS[[#This Row],[Aporte]]="","",I28)</f>
        <v/>
      </c>
      <c r="G29" s="6" t="str">
        <f>IF(TB_DADOS[[#This Row],[Aporte]]="","",TB_DADOS[[#This Row],[Saldo Anterior]]*TB_DADOS[[#This Row],[Taxa de Rendimento Mensal]])</f>
        <v/>
      </c>
      <c r="H29" s="6" t="str">
        <f>IF(TB_DADOS[[#This Row],[Aporte]]="","",TB_DADOS[[#This Row],[Saldo Anterior]]*TB_DADOS[[#This Row],[Taxa de Rendimento Carteira]])</f>
        <v/>
      </c>
      <c r="I29" s="6" t="str">
        <f>IF(TB_DADOS[[#This Row],[Aporte]]="","",TB_DADOS[[#This Row],[Aporte]]+TB_DADOS[[#This Row],[Saldo Anterior]]+TB_DADOS[[#This Row],[Juros do Mês]])</f>
        <v/>
      </c>
    </row>
    <row r="30" spans="1:9" x14ac:dyDescent="0.35">
      <c r="A30" s="2">
        <v>27</v>
      </c>
      <c r="F30" s="6" t="str">
        <f>IF(TB_DADOS[[#This Row],[Aporte]]="","",I29)</f>
        <v/>
      </c>
      <c r="G30" s="6" t="str">
        <f>IF(TB_DADOS[[#This Row],[Aporte]]="","",TB_DADOS[[#This Row],[Saldo Anterior]]*TB_DADOS[[#This Row],[Taxa de Rendimento Mensal]])</f>
        <v/>
      </c>
      <c r="H30" s="6" t="str">
        <f>IF(TB_DADOS[[#This Row],[Aporte]]="","",TB_DADOS[[#This Row],[Saldo Anterior]]*TB_DADOS[[#This Row],[Taxa de Rendimento Carteira]])</f>
        <v/>
      </c>
      <c r="I30" s="6" t="str">
        <f>IF(TB_DADOS[[#This Row],[Aporte]]="","",TB_DADOS[[#This Row],[Aporte]]+TB_DADOS[[#This Row],[Saldo Anterior]]+TB_DADOS[[#This Row],[Juros do Mês]])</f>
        <v/>
      </c>
    </row>
    <row r="31" spans="1:9" x14ac:dyDescent="0.35">
      <c r="A31" s="2">
        <v>28</v>
      </c>
      <c r="F31" s="6" t="str">
        <f>IF(TB_DADOS[[#This Row],[Aporte]]="","",I30)</f>
        <v/>
      </c>
      <c r="G31" s="6" t="str">
        <f>IF(TB_DADOS[[#This Row],[Aporte]]="","",TB_DADOS[[#This Row],[Saldo Anterior]]*TB_DADOS[[#This Row],[Taxa de Rendimento Mensal]])</f>
        <v/>
      </c>
      <c r="H31" s="6" t="str">
        <f>IF(TB_DADOS[[#This Row],[Aporte]]="","",TB_DADOS[[#This Row],[Saldo Anterior]]*TB_DADOS[[#This Row],[Taxa de Rendimento Carteira]])</f>
        <v/>
      </c>
      <c r="I31" s="6" t="str">
        <f>IF(TB_DADOS[[#This Row],[Aporte]]="","",TB_DADOS[[#This Row],[Aporte]]+TB_DADOS[[#This Row],[Saldo Anterior]]+TB_DADOS[[#This Row],[Juros do Mês]])</f>
        <v/>
      </c>
    </row>
    <row r="32" spans="1:9" x14ac:dyDescent="0.35">
      <c r="A32" s="2">
        <v>29</v>
      </c>
      <c r="F32" s="6" t="str">
        <f>IF(TB_DADOS[[#This Row],[Aporte]]="","",I31)</f>
        <v/>
      </c>
      <c r="G32" s="6" t="str">
        <f>IF(TB_DADOS[[#This Row],[Aporte]]="","",TB_DADOS[[#This Row],[Saldo Anterior]]*TB_DADOS[[#This Row],[Taxa de Rendimento Mensal]])</f>
        <v/>
      </c>
      <c r="H32" s="6" t="str">
        <f>IF(TB_DADOS[[#This Row],[Aporte]]="","",TB_DADOS[[#This Row],[Saldo Anterior]]*TB_DADOS[[#This Row],[Taxa de Rendimento Carteira]])</f>
        <v/>
      </c>
      <c r="I32" s="6" t="str">
        <f>IF(TB_DADOS[[#This Row],[Aporte]]="","",TB_DADOS[[#This Row],[Aporte]]+TB_DADOS[[#This Row],[Saldo Anterior]]+TB_DADOS[[#This Row],[Juros do Mês]])</f>
        <v/>
      </c>
    </row>
    <row r="33" spans="1:9" x14ac:dyDescent="0.35">
      <c r="A33" s="2">
        <v>30</v>
      </c>
      <c r="F33" s="6" t="str">
        <f>IF(TB_DADOS[[#This Row],[Aporte]]="","",I32)</f>
        <v/>
      </c>
      <c r="G33" s="6" t="str">
        <f>IF(TB_DADOS[[#This Row],[Aporte]]="","",TB_DADOS[[#This Row],[Saldo Anterior]]*TB_DADOS[[#This Row],[Taxa de Rendimento Mensal]])</f>
        <v/>
      </c>
      <c r="H33" s="6" t="str">
        <f>IF(TB_DADOS[[#This Row],[Aporte]]="","",TB_DADOS[[#This Row],[Saldo Anterior]]*TB_DADOS[[#This Row],[Taxa de Rendimento Carteira]])</f>
        <v/>
      </c>
      <c r="I33" s="6" t="str">
        <f>IF(TB_DADOS[[#This Row],[Aporte]]="","",TB_DADOS[[#This Row],[Aporte]]+TB_DADOS[[#This Row],[Saldo Anterior]]+TB_DADOS[[#This Row],[Juros do Mês]])</f>
        <v/>
      </c>
    </row>
    <row r="34" spans="1:9" x14ac:dyDescent="0.35">
      <c r="B34" s="5" t="s">
        <v>16</v>
      </c>
      <c r="C34" s="6">
        <f>SUBTOTAL(109,TB_DADOS[Aporte])</f>
        <v>10500</v>
      </c>
      <c r="G34" s="6">
        <f>SUBTOTAL(109,TB_DADOS[Juros do Mês])</f>
        <v>806.45104330318748</v>
      </c>
      <c r="H34" s="6"/>
      <c r="I34" s="6">
        <f>TB_DADOS[[#Totals],[Aporte]]+TB_DADOS[[#Totals],[Juros do Mês]]+TB_DADOS[[#Totals],[Dividendos]]</f>
        <v>11306.451043303188</v>
      </c>
    </row>
  </sheetData>
  <mergeCells count="1">
    <mergeCell ref="A1:I1"/>
  </mergeCells>
  <pageMargins left="0.25" right="0.25" top="0.75" bottom="0.75" header="0.3" footer="0.3"/>
  <pageSetup paperSize="9" scale="95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16</vt:i4>
      </vt:variant>
    </vt:vector>
  </HeadingPairs>
  <TitlesOfParts>
    <vt:vector size="18" baseType="lpstr">
      <vt:lpstr>RELATÓRIO</vt:lpstr>
      <vt:lpstr>DADOS</vt:lpstr>
      <vt:lpstr>DIVIDENTOS_TOTAL</vt:lpstr>
      <vt:lpstr>JUROS_RECEBIDOS</vt:lpstr>
      <vt:lpstr>JUROS_TOTAL</vt:lpstr>
      <vt:lpstr>MESES_REALIZADO</vt:lpstr>
      <vt:lpstr>PERIODO_RESTANTE</vt:lpstr>
      <vt:lpstr>RENTABILIDADE</vt:lpstr>
      <vt:lpstr>SALDO_TOTAL</vt:lpstr>
      <vt:lpstr>SM_APORTE</vt:lpstr>
      <vt:lpstr>SM_APORTE_TOTAL</vt:lpstr>
      <vt:lpstr>SM_DIVIDENDO</vt:lpstr>
      <vt:lpstr>SM_MESES_FT</vt:lpstr>
      <vt:lpstr>SM_PERIODO_RESTANTE</vt:lpstr>
      <vt:lpstr>SM_PERIODO_TOTAL</vt:lpstr>
      <vt:lpstr>SM_TAXA_JUROS</vt:lpstr>
      <vt:lpstr>SM_VALOR_TOTAL</vt:lpstr>
      <vt:lpstr>TOTAL_INVESTIDO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Alais Cassimira Salino Barbosa</dc:creator>
  <cp:lastModifiedBy>Alais Cassimira Salino Barbosa</cp:lastModifiedBy>
  <cp:lastPrinted>2025-06-21T16:06:18Z</cp:lastPrinted>
  <dcterms:created xsi:type="dcterms:W3CDTF">2025-06-21T00:54:38Z</dcterms:created>
  <dcterms:modified xsi:type="dcterms:W3CDTF">2025-06-21T16:06:44Z</dcterms:modified>
</cp:coreProperties>
</file>