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G:\PPI\"/>
    </mc:Choice>
  </mc:AlternateContent>
  <xr:revisionPtr revIDLastSave="0" documentId="8_{A8CF8F05-66D7-4D15-BE6A-1E9B141887AC}" xr6:coauthVersionLast="43" xr6:coauthVersionMax="43" xr10:uidLastSave="{00000000-0000-0000-0000-000000000000}"/>
  <bookViews>
    <workbookView xWindow="-120" yWindow="-120" windowWidth="29040" windowHeight="15840" tabRatio="801" activeTab="15" xr2:uid="{00000000-000D-0000-FFFF-FFFF00000000}"/>
  </bookViews>
  <sheets>
    <sheet name="Части проекта" sheetId="1" r:id="rId1"/>
    <sheet name="1.Идея" sheetId="2" r:id="rId2"/>
    <sheet name="2.Конц." sheetId="3" r:id="rId3"/>
    <sheet name="3.Сайт" sheetId="6" r:id="rId4"/>
    <sheet name="4.Док." sheetId="7" r:id="rId5"/>
    <sheet name="5.Демо" sheetId="4" r:id="rId6"/>
    <sheet name="6.Сооб." sheetId="8" r:id="rId7"/>
    <sheet name="7.Прото." sheetId="5" r:id="rId8"/>
    <sheet name="8. Маркет." sheetId="9" r:id="rId9"/>
    <sheet name="9. Моб.в." sheetId="10" r:id="rId10"/>
    <sheet name="10. РС в." sheetId="11" r:id="rId11"/>
    <sheet name="11. Ос.ч." sheetId="12" r:id="rId12"/>
    <sheet name="Выплаты" sheetId="13" r:id="rId13"/>
    <sheet name="Прогресс" sheetId="14" r:id="rId14"/>
    <sheet name="Цена" sheetId="15" r:id="rId15"/>
    <sheet name="Участники" sheetId="16" r:id="rId16"/>
  </sheets>
  <externalReferences>
    <externalReference r:id="rId17"/>
  </externalReferences>
  <definedNames>
    <definedName name="_xlnm.Print_Titles" localSheetId="0">'Части проекта'!$4:$4</definedName>
    <definedName name="ЗаголовокСтолбца1">Активы[[#Headers],[Раздел]]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6" l="1"/>
  <c r="F33" i="13"/>
  <c r="H33" i="13"/>
  <c r="J4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L12" i="2" l="1"/>
  <c r="L11" i="2"/>
  <c r="L10" i="2"/>
  <c r="L9" i="2"/>
  <c r="L8" i="2"/>
  <c r="L7" i="2"/>
  <c r="L6" i="2"/>
  <c r="L5" i="2"/>
  <c r="H6" i="4"/>
  <c r="I6" i="4"/>
  <c r="J6" i="4"/>
  <c r="H4" i="4"/>
  <c r="I4" i="4"/>
  <c r="J4" i="4"/>
  <c r="J5" i="4"/>
  <c r="I5" i="4"/>
  <c r="H5" i="4"/>
  <c r="J14" i="3"/>
  <c r="I14" i="3"/>
  <c r="H14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J10" i="3"/>
  <c r="I10" i="3"/>
  <c r="J13" i="3"/>
  <c r="I13" i="3"/>
  <c r="H13" i="3"/>
  <c r="J12" i="3"/>
  <c r="I12" i="3"/>
  <c r="H12" i="3"/>
  <c r="H10" i="3"/>
  <c r="H12" i="7"/>
  <c r="J12" i="7"/>
  <c r="L12" i="7"/>
  <c r="H13" i="7"/>
  <c r="J13" i="7"/>
  <c r="L13" i="7"/>
  <c r="H14" i="7"/>
  <c r="J14" i="7"/>
  <c r="L14" i="7"/>
  <c r="H11" i="7"/>
  <c r="L11" i="7"/>
  <c r="J11" i="7"/>
  <c r="E33" i="13"/>
  <c r="D33" i="13"/>
  <c r="D3" i="16" l="1"/>
  <c r="I3" i="16" s="1"/>
  <c r="F32" i="13"/>
  <c r="K9" i="13" s="1"/>
  <c r="E9" i="14" s="1"/>
  <c r="E32" i="13"/>
  <c r="D32" i="13"/>
  <c r="F31" i="13"/>
  <c r="E31" i="13"/>
  <c r="D31" i="13"/>
  <c r="O6" i="16"/>
  <c r="O5" i="16"/>
  <c r="O4" i="16"/>
  <c r="O3" i="16"/>
  <c r="K3" i="16"/>
  <c r="C3" i="16"/>
  <c r="E11" i="14"/>
  <c r="E12" i="14"/>
  <c r="E13" i="14"/>
  <c r="J8" i="13"/>
  <c r="J5" i="13"/>
  <c r="J6" i="13"/>
  <c r="J7" i="13"/>
  <c r="J4" i="13"/>
  <c r="J10" i="13"/>
  <c r="J11" i="13"/>
  <c r="J12" i="13"/>
  <c r="J13" i="13"/>
  <c r="I5" i="13"/>
  <c r="I6" i="13"/>
  <c r="I7" i="13"/>
  <c r="I8" i="13"/>
  <c r="I9" i="13"/>
  <c r="I10" i="13"/>
  <c r="I11" i="13"/>
  <c r="I12" i="13"/>
  <c r="I13" i="13"/>
  <c r="I14" i="13"/>
  <c r="I4" i="13"/>
  <c r="J9" i="13"/>
  <c r="F30" i="13" l="1"/>
  <c r="K14" i="13" s="1"/>
  <c r="E30" i="13"/>
  <c r="D30" i="13"/>
  <c r="F29" i="13"/>
  <c r="E29" i="13"/>
  <c r="D29" i="13"/>
  <c r="E28" i="13"/>
  <c r="D28" i="13"/>
  <c r="D27" i="13" l="1"/>
  <c r="C14" i="15"/>
  <c r="C13" i="15"/>
  <c r="C12" i="15"/>
  <c r="C11" i="15"/>
  <c r="C10" i="15"/>
  <c r="C9" i="15"/>
  <c r="C8" i="15"/>
  <c r="C7" i="15"/>
  <c r="C6" i="15"/>
  <c r="C5" i="15"/>
  <c r="C4" i="15"/>
  <c r="E14" i="15"/>
  <c r="H14" i="15" s="1"/>
  <c r="E13" i="15"/>
  <c r="E12" i="15"/>
  <c r="E11" i="15"/>
  <c r="E10" i="15"/>
  <c r="E9" i="15"/>
  <c r="E8" i="15"/>
  <c r="E7" i="15"/>
  <c r="E6" i="15"/>
  <c r="E5" i="15"/>
  <c r="E4" i="15"/>
  <c r="F26" i="13" l="1"/>
  <c r="E26" i="13"/>
  <c r="D26" i="13"/>
  <c r="E14" i="14"/>
  <c r="E25" i="13"/>
  <c r="D25" i="13"/>
  <c r="J14" i="13" s="1"/>
  <c r="C13" i="14"/>
  <c r="D13" i="14" s="1"/>
  <c r="C12" i="14"/>
  <c r="D12" i="14" s="1"/>
  <c r="C11" i="14"/>
  <c r="D11" i="14" s="1"/>
  <c r="C10" i="14"/>
  <c r="D10" i="14" s="1"/>
  <c r="C9" i="14"/>
  <c r="D9" i="14" s="1"/>
  <c r="C8" i="14"/>
  <c r="D8" i="14" s="1"/>
  <c r="C5" i="14"/>
  <c r="D5" i="14" s="1"/>
  <c r="C6" i="14"/>
  <c r="D6" i="14" s="1"/>
  <c r="C7" i="14"/>
  <c r="D7" i="14" s="1"/>
  <c r="C4" i="14"/>
  <c r="D4" i="14" s="1"/>
  <c r="C14" i="14" l="1"/>
  <c r="D14" i="14" s="1"/>
  <c r="J13" i="2"/>
  <c r="J16" i="2"/>
  <c r="E24" i="13"/>
  <c r="D24" i="13"/>
  <c r="E22" i="13"/>
  <c r="D22" i="13"/>
  <c r="E21" i="13"/>
  <c r="D21" i="13"/>
  <c r="F20" i="13"/>
  <c r="E20" i="13"/>
  <c r="D20" i="13"/>
  <c r="F19" i="13"/>
  <c r="E19" i="13"/>
  <c r="F16" i="5"/>
  <c r="D19" i="13"/>
  <c r="D18" i="13"/>
  <c r="E18" i="13"/>
  <c r="E23" i="13"/>
  <c r="D23" i="13"/>
  <c r="E17" i="13"/>
  <c r="E16" i="13"/>
  <c r="E15" i="13"/>
  <c r="E14" i="13"/>
  <c r="E13" i="13"/>
  <c r="D17" i="13"/>
  <c r="D16" i="13"/>
  <c r="D15" i="13"/>
  <c r="D14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C18" i="14" l="1"/>
  <c r="N2" i="3"/>
  <c r="M2" i="6" s="1"/>
  <c r="N2" i="6" l="1"/>
  <c r="P2" i="7" s="1"/>
  <c r="Q2" i="7"/>
  <c r="M2" i="4" s="1"/>
  <c r="N2" i="4"/>
  <c r="K2" i="8" s="1"/>
  <c r="L2" i="8"/>
  <c r="K2" i="5" s="1"/>
  <c r="L2" i="5"/>
  <c r="K2" i="9" s="1"/>
  <c r="L2" i="9"/>
  <c r="K2" i="10" s="1"/>
  <c r="L2" i="10"/>
  <c r="O2" i="11" s="1"/>
  <c r="P2" i="11"/>
  <c r="K2" i="12" s="1"/>
  <c r="L2" i="12"/>
  <c r="P2" i="2"/>
  <c r="M2" i="3" s="1"/>
  <c r="E15" i="8" l="1"/>
  <c r="E15" i="12" l="1"/>
  <c r="E1" i="12" s="1"/>
  <c r="E13" i="11"/>
  <c r="E1" i="11" s="1"/>
  <c r="E22" i="10"/>
  <c r="E12" i="10"/>
  <c r="E10" i="9"/>
  <c r="E14" i="5"/>
  <c r="E1" i="5"/>
  <c r="E1" i="8"/>
  <c r="E7" i="4"/>
  <c r="E15" i="7"/>
  <c r="E10" i="6"/>
  <c r="E15" i="3"/>
  <c r="E16" i="2"/>
  <c r="E1" i="2" s="1"/>
  <c r="E1" i="10" l="1"/>
  <c r="E1" i="3"/>
  <c r="C14" i="1" l="1"/>
  <c r="D14" i="1" s="1"/>
  <c r="G1" i="11" s="1"/>
  <c r="C10" i="1"/>
  <c r="C9" i="1"/>
  <c r="D9" i="1" s="1"/>
  <c r="G1" i="4" s="1"/>
  <c r="G5" i="4" l="1"/>
  <c r="G7" i="4"/>
  <c r="F8" i="14" s="1"/>
  <c r="G11" i="11"/>
  <c r="G13" i="11"/>
  <c r="F13" i="14" s="1"/>
  <c r="G13" i="14" s="1"/>
  <c r="D10" i="1"/>
  <c r="G1" i="8" s="1"/>
  <c r="G14" i="8" s="1"/>
  <c r="G5" i="11"/>
  <c r="G12" i="11"/>
  <c r="G10" i="11"/>
  <c r="G6" i="11"/>
  <c r="G4" i="11"/>
  <c r="G9" i="11"/>
  <c r="G6" i="4"/>
  <c r="G4" i="4"/>
  <c r="F21" i="13" s="1"/>
  <c r="K8" i="13" s="1"/>
  <c r="E8" i="14" s="1"/>
  <c r="C13" i="1"/>
  <c r="D13" i="1" s="1"/>
  <c r="G1" i="10" s="1"/>
  <c r="C12" i="1"/>
  <c r="D12" i="1" s="1"/>
  <c r="G1" i="9" s="1"/>
  <c r="C8" i="1"/>
  <c r="D8" i="1" s="1"/>
  <c r="G1" i="7" s="1"/>
  <c r="G15" i="7" s="1"/>
  <c r="F7" i="14" s="1"/>
  <c r="C7" i="1"/>
  <c r="D7" i="1" s="1"/>
  <c r="G1" i="6" s="1"/>
  <c r="G10" i="6" s="1"/>
  <c r="F6" i="14" s="1"/>
  <c r="C11" i="1"/>
  <c r="D11" i="1" s="1"/>
  <c r="G1" i="5" s="1"/>
  <c r="C6" i="1"/>
  <c r="D6" i="1" s="1"/>
  <c r="G1" i="3" s="1"/>
  <c r="G15" i="3" s="1"/>
  <c r="F5" i="14" s="1"/>
  <c r="C5" i="1"/>
  <c r="D5" i="1" s="1"/>
  <c r="G1" i="2" s="1"/>
  <c r="G13" i="2" s="1"/>
  <c r="K13" i="2" s="1"/>
  <c r="E1" i="9"/>
  <c r="E1" i="7"/>
  <c r="E1" i="6"/>
  <c r="E1" i="4"/>
  <c r="G8" i="14" l="1"/>
  <c r="G14" i="5"/>
  <c r="F10" i="14" s="1"/>
  <c r="G6" i="5"/>
  <c r="G13" i="5"/>
  <c r="G5" i="5"/>
  <c r="F18" i="13" s="1"/>
  <c r="K10" i="13" s="1"/>
  <c r="E10" i="14" s="1"/>
  <c r="C15" i="1"/>
  <c r="A1" i="12" s="1"/>
  <c r="G8" i="8"/>
  <c r="G15" i="8"/>
  <c r="F9" i="14" s="1"/>
  <c r="G9" i="14" s="1"/>
  <c r="G4" i="8"/>
  <c r="G12" i="8"/>
  <c r="G13" i="8"/>
  <c r="G14" i="10"/>
  <c r="G22" i="10" s="1"/>
  <c r="G3" i="10"/>
  <c r="G12" i="10" s="1"/>
  <c r="F12" i="14" s="1"/>
  <c r="G12" i="14" s="1"/>
  <c r="G10" i="9"/>
  <c r="F11" i="14" s="1"/>
  <c r="G11" i="14" s="1"/>
  <c r="G9" i="9"/>
  <c r="G8" i="9"/>
  <c r="G6" i="9"/>
  <c r="G5" i="9"/>
  <c r="G7" i="9"/>
  <c r="G4" i="9"/>
  <c r="G6" i="7"/>
  <c r="H6" i="7" s="1"/>
  <c r="J6" i="7" s="1"/>
  <c r="L6" i="7" s="1"/>
  <c r="G5" i="7"/>
  <c r="H5" i="7" s="1"/>
  <c r="J5" i="7" s="1"/>
  <c r="L5" i="7" s="1"/>
  <c r="G8" i="7"/>
  <c r="H8" i="7" s="1"/>
  <c r="J8" i="7" s="1"/>
  <c r="L8" i="7" s="1"/>
  <c r="G7" i="7"/>
  <c r="H7" i="7" s="1"/>
  <c r="J7" i="7" s="1"/>
  <c r="L7" i="7" s="1"/>
  <c r="G10" i="7"/>
  <c r="H10" i="7" s="1"/>
  <c r="J10" i="7" s="1"/>
  <c r="L10" i="7" s="1"/>
  <c r="G4" i="7"/>
  <c r="G9" i="7"/>
  <c r="H9" i="7" s="1"/>
  <c r="J9" i="7" s="1"/>
  <c r="L9" i="7" s="1"/>
  <c r="G5" i="6"/>
  <c r="F28" i="13" s="1"/>
  <c r="G6" i="6"/>
  <c r="G4" i="6"/>
  <c r="F23" i="13" s="1"/>
  <c r="G9" i="6"/>
  <c r="G8" i="3"/>
  <c r="F16" i="13" s="1"/>
  <c r="G11" i="3"/>
  <c r="G14" i="3"/>
  <c r="G5" i="3"/>
  <c r="F13" i="13" s="1"/>
  <c r="G9" i="3"/>
  <c r="G7" i="3"/>
  <c r="F15" i="13" s="1"/>
  <c r="G6" i="3"/>
  <c r="F14" i="13" s="1"/>
  <c r="G4" i="3"/>
  <c r="F12" i="13" s="1"/>
  <c r="G10" i="3"/>
  <c r="F17" i="13" s="1"/>
  <c r="G12" i="2"/>
  <c r="G8" i="2"/>
  <c r="G11" i="2"/>
  <c r="G10" i="2"/>
  <c r="G6" i="2"/>
  <c r="G9" i="2"/>
  <c r="G5" i="2"/>
  <c r="G7" i="2"/>
  <c r="F22" i="13" l="1"/>
  <c r="H4" i="7"/>
  <c r="J4" i="7" s="1"/>
  <c r="L4" i="7" s="1"/>
  <c r="K6" i="13"/>
  <c r="E6" i="14" s="1"/>
  <c r="G6" i="14" s="1"/>
  <c r="F24" i="13"/>
  <c r="G10" i="14"/>
  <c r="K5" i="13"/>
  <c r="E5" i="14" s="1"/>
  <c r="J5" i="2"/>
  <c r="J11" i="2"/>
  <c r="K11" i="2" s="1"/>
  <c r="F10" i="13"/>
  <c r="F8" i="13"/>
  <c r="J9" i="2"/>
  <c r="K9" i="2" s="1"/>
  <c r="F7" i="13"/>
  <c r="J8" i="2"/>
  <c r="K8" i="2" s="1"/>
  <c r="J6" i="2"/>
  <c r="K6" i="2" s="1"/>
  <c r="F5" i="13"/>
  <c r="F11" i="13"/>
  <c r="J12" i="2"/>
  <c r="K12" i="2" s="1"/>
  <c r="J7" i="2"/>
  <c r="K7" i="2" s="1"/>
  <c r="F6" i="13"/>
  <c r="J10" i="2"/>
  <c r="K10" i="2" s="1"/>
  <c r="F9" i="13"/>
  <c r="C19" i="1"/>
  <c r="D15" i="1"/>
  <c r="G1" i="12" s="1"/>
  <c r="G14" i="12" s="1"/>
  <c r="G9" i="10"/>
  <c r="G5" i="10"/>
  <c r="G8" i="10"/>
  <c r="G11" i="10"/>
  <c r="G7" i="10"/>
  <c r="G10" i="10"/>
  <c r="G6" i="10"/>
  <c r="G21" i="10"/>
  <c r="G19" i="10"/>
  <c r="G16" i="10"/>
  <c r="G18" i="10"/>
  <c r="G20" i="10"/>
  <c r="G15" i="10"/>
  <c r="G17" i="10"/>
  <c r="G16" i="2"/>
  <c r="K7" i="13" l="1"/>
  <c r="E7" i="14" s="1"/>
  <c r="G7" i="14" s="1"/>
  <c r="F4" i="13"/>
  <c r="K4" i="13" s="1"/>
  <c r="E4" i="14" s="1"/>
  <c r="G4" i="14" s="1"/>
  <c r="K1" i="2"/>
  <c r="K16" i="2"/>
  <c r="F4" i="14"/>
  <c r="G5" i="14"/>
  <c r="K5" i="2"/>
  <c r="G15" i="12"/>
  <c r="F14" i="14" s="1"/>
  <c r="F14" i="15" s="1"/>
  <c r="G14" i="15" s="1"/>
  <c r="G12" i="12"/>
  <c r="G13" i="12"/>
  <c r="G4" i="12"/>
  <c r="G9" i="12"/>
  <c r="G10" i="12"/>
  <c r="G11" i="12"/>
  <c r="F4" i="15" l="1"/>
  <c r="G4" i="15" s="1"/>
  <c r="F7" i="15"/>
  <c r="G7" i="15" s="1"/>
  <c r="F6" i="15"/>
  <c r="G6" i="15" s="1"/>
  <c r="F5" i="15"/>
  <c r="G5" i="15" s="1"/>
  <c r="F8" i="15"/>
  <c r="G8" i="15" s="1"/>
  <c r="F9" i="15"/>
  <c r="G9" i="15" s="1"/>
  <c r="F13" i="15"/>
  <c r="G13" i="15" s="1"/>
  <c r="F12" i="15"/>
  <c r="G12" i="15" s="1"/>
  <c r="F11" i="15"/>
  <c r="G11" i="15" s="1"/>
  <c r="F10" i="15"/>
  <c r="G10" i="15" s="1"/>
  <c r="F40" i="13"/>
  <c r="K31" i="13" s="1"/>
  <c r="E18" i="14"/>
  <c r="F18" i="14"/>
  <c r="G14" i="14"/>
  <c r="G18" i="14" s="1"/>
</calcChain>
</file>

<file path=xl/sharedStrings.xml><?xml version="1.0" encoding="utf-8"?>
<sst xmlns="http://schemas.openxmlformats.org/spreadsheetml/2006/main" count="469" uniqueCount="192">
  <si>
    <t>Доля</t>
  </si>
  <si>
    <t>Идея</t>
  </si>
  <si>
    <t>Концепция</t>
  </si>
  <si>
    <t>Демо</t>
  </si>
  <si>
    <t>Сайт</t>
  </si>
  <si>
    <t>Документация (whitepaper)</t>
  </si>
  <si>
    <t>Итого:</t>
  </si>
  <si>
    <t>Рабочая версия (РС)</t>
  </si>
  <si>
    <t>Мобильная версия (iOS+Andr.)</t>
  </si>
  <si>
    <t>Маркетинг</t>
  </si>
  <si>
    <t>Особая часть проекта</t>
  </si>
  <si>
    <t>1.</t>
  </si>
  <si>
    <t>Общее описание</t>
  </si>
  <si>
    <t>2.</t>
  </si>
  <si>
    <t>3.</t>
  </si>
  <si>
    <t>Эскизы бренда</t>
  </si>
  <si>
    <t>4.</t>
  </si>
  <si>
    <t>5.</t>
  </si>
  <si>
    <t>Решаемая проблема</t>
  </si>
  <si>
    <t>6.</t>
  </si>
  <si>
    <t>Необходимые условия</t>
  </si>
  <si>
    <t>7.</t>
  </si>
  <si>
    <t>Оформление</t>
  </si>
  <si>
    <t>-</t>
  </si>
  <si>
    <t>Вес раздела</t>
  </si>
  <si>
    <t>Наименование задачи</t>
  </si>
  <si>
    <t>Вес</t>
  </si>
  <si>
    <t>Порядок реализации</t>
  </si>
  <si>
    <t>Сообщество</t>
  </si>
  <si>
    <t>Аналогичные проекты</t>
  </si>
  <si>
    <t>Целевая аудитория</t>
  </si>
  <si>
    <t>8.</t>
  </si>
  <si>
    <t>Мотивация</t>
  </si>
  <si>
    <t>Цели проекта</t>
  </si>
  <si>
    <t>Риски</t>
  </si>
  <si>
    <t>Этапы и составные части</t>
  </si>
  <si>
    <t>9.</t>
  </si>
  <si>
    <t xml:space="preserve">Структура </t>
  </si>
  <si>
    <t>Бизнес-план и оформление</t>
  </si>
  <si>
    <t>Оформление и релиз</t>
  </si>
  <si>
    <t>Дизайн</t>
  </si>
  <si>
    <t>Контент</t>
  </si>
  <si>
    <t>Прочее</t>
  </si>
  <si>
    <t>Материалы</t>
  </si>
  <si>
    <t>Проект прототипа</t>
  </si>
  <si>
    <t>Математическая модель</t>
  </si>
  <si>
    <t>Основные понятия</t>
  </si>
  <si>
    <t>Идея, краткая концепция</t>
  </si>
  <si>
    <t>Техническая часть</t>
  </si>
  <si>
    <t>Финансовая часть</t>
  </si>
  <si>
    <t>Этапы, сроки и пути реализации</t>
  </si>
  <si>
    <t>Каналы и группы (Телеграм, Viber и пр.)</t>
  </si>
  <si>
    <t>Митапы</t>
  </si>
  <si>
    <t>Разное</t>
  </si>
  <si>
    <t>Изготовление</t>
  </si>
  <si>
    <t>Число токенов</t>
  </si>
  <si>
    <t>Токенов:</t>
  </si>
  <si>
    <t>Архитектура</t>
  </si>
  <si>
    <t>Разработка</t>
  </si>
  <si>
    <t>Тестирование</t>
  </si>
  <si>
    <t>Андроид:</t>
  </si>
  <si>
    <t>iOS:</t>
  </si>
  <si>
    <t>токенов</t>
  </si>
  <si>
    <t>Переводы</t>
  </si>
  <si>
    <t>Резерв для улучшений</t>
  </si>
  <si>
    <t>10.</t>
  </si>
  <si>
    <t>Резерв</t>
  </si>
  <si>
    <t>Бизнес-модель и перспективы</t>
  </si>
  <si>
    <t>Источники дохода и расходы</t>
  </si>
  <si>
    <t>Сегменты и реальные отзывы целевой аудитории</t>
  </si>
  <si>
    <t>Продвижение сайта и каналов</t>
  </si>
  <si>
    <t>Публикации, обзоры, биржи и пр.</t>
  </si>
  <si>
    <t>Реклама в сети и оффлайн</t>
  </si>
  <si>
    <t>Геймефикация (розыгрыши, состязания и пр.)</t>
  </si>
  <si>
    <t>Презентации и материалы для конференций и митапов</t>
  </si>
  <si>
    <t>Адаптация для успешного сотрудничества с партнерами</t>
  </si>
  <si>
    <t>Рост цены токена</t>
  </si>
  <si>
    <t>До выполнения задач</t>
  </si>
  <si>
    <t>После  завершения (кроме резерва)</t>
  </si>
  <si>
    <t>Раздел</t>
  </si>
  <si>
    <t>Готовность</t>
  </si>
  <si>
    <t>Остаток</t>
  </si>
  <si>
    <t>Выплачено токенов</t>
  </si>
  <si>
    <t>Номер</t>
  </si>
  <si>
    <t>Дата</t>
  </si>
  <si>
    <t>Задача</t>
  </si>
  <si>
    <t>Объем</t>
  </si>
  <si>
    <t>Кому</t>
  </si>
  <si>
    <t>А1</t>
  </si>
  <si>
    <t>Прототип(MVP)</t>
  </si>
  <si>
    <t>2.1</t>
  </si>
  <si>
    <t>2.2</t>
  </si>
  <si>
    <t>Регистрация</t>
  </si>
  <si>
    <t>2.3</t>
  </si>
  <si>
    <t>2.4</t>
  </si>
  <si>
    <t>Интерфейс участника</t>
  </si>
  <si>
    <t>Интерфейс основателя</t>
  </si>
  <si>
    <t>Интерфейс гостя</t>
  </si>
  <si>
    <t>2.5</t>
  </si>
  <si>
    <t>Интерфейс инвестора</t>
  </si>
  <si>
    <t>2.6</t>
  </si>
  <si>
    <t>Подитог:</t>
  </si>
  <si>
    <t>да</t>
  </si>
  <si>
    <t>9.1</t>
  </si>
  <si>
    <t>9.2</t>
  </si>
  <si>
    <t>Английский</t>
  </si>
  <si>
    <t>Китайский</t>
  </si>
  <si>
    <t>Выплачено по разделам:</t>
  </si>
  <si>
    <t>1.1</t>
  </si>
  <si>
    <t>1.2</t>
  </si>
  <si>
    <t>Решение, голосование, пруфридинг, инвестиции</t>
  </si>
  <si>
    <t>Привелигированные и основные доли: голосования и купля/продажа</t>
  </si>
  <si>
    <t>1.3</t>
  </si>
  <si>
    <t>1.4</t>
  </si>
  <si>
    <t>% выполнения</t>
  </si>
  <si>
    <t>Токенов без резерва</t>
  </si>
  <si>
    <t>8.1</t>
  </si>
  <si>
    <t>8.2</t>
  </si>
  <si>
    <t>Структура проекта</t>
  </si>
  <si>
    <t>Сформировать основные задачи разделов</t>
  </si>
  <si>
    <t>Показатели</t>
  </si>
  <si>
    <t>Ожидаемый рост цены токена и оценки проекта</t>
  </si>
  <si>
    <t>Первые клиенты, P/M-fit</t>
  </si>
  <si>
    <t>Рыночный продукт</t>
  </si>
  <si>
    <t>Необходимые условия (завершен раздел)</t>
  </si>
  <si>
    <t>Цена токена, $, после выплаты бюджета (кроме резерва)</t>
  </si>
  <si>
    <t>Ориентировочно выплачено токенов</t>
  </si>
  <si>
    <t>Оценка проекта, $</t>
  </si>
  <si>
    <t>Оценка после использования резервов, $</t>
  </si>
  <si>
    <t>% выполнения проекта</t>
  </si>
  <si>
    <t xml:space="preserve">Алгоритмы расчета </t>
  </si>
  <si>
    <t>Репутация</t>
  </si>
  <si>
    <t>Кошельки и расчеты</t>
  </si>
  <si>
    <t>Рейтинги, поиск, ранжирования</t>
  </si>
  <si>
    <t>Взаимодействие с внешними сетями</t>
  </si>
  <si>
    <t>Независимое и неизменяемое хранение данных</t>
  </si>
  <si>
    <t>Собственная сеть</t>
  </si>
  <si>
    <t xml:space="preserve">Тестирование и развертывание </t>
  </si>
  <si>
    <t>Проект Loreland (Лореленд). Воплощаем идеи.</t>
  </si>
  <si>
    <t>Выкладываются задания</t>
  </si>
  <si>
    <t>Виден прогресс</t>
  </si>
  <si>
    <t>3.1</t>
  </si>
  <si>
    <t>3.2</t>
  </si>
  <si>
    <t>Верстка</t>
  </si>
  <si>
    <t>Настройка форм и входа в приложение</t>
  </si>
  <si>
    <t>Начислено по разделам:</t>
  </si>
  <si>
    <t>Выплачено:</t>
  </si>
  <si>
    <t>Всего начислено:</t>
  </si>
  <si>
    <t>Участник</t>
  </si>
  <si>
    <t>Принято заданий</t>
  </si>
  <si>
    <t>Проверено участником</t>
  </si>
  <si>
    <t>За участия в голосованиях</t>
  </si>
  <si>
    <t>Telegram</t>
  </si>
  <si>
    <t>Ведение социальных медиа (сети, форумы Reddit, Bitcointalk, Medium и пр.)</t>
  </si>
  <si>
    <t>Facebook</t>
  </si>
  <si>
    <t>Администрирование разделов</t>
  </si>
  <si>
    <t>Начислено токенов</t>
  </si>
  <si>
    <t>Минусования</t>
  </si>
  <si>
    <t>+10</t>
  </si>
  <si>
    <t>+3</t>
  </si>
  <si>
    <t>+2</t>
  </si>
  <si>
    <t>+1</t>
  </si>
  <si>
    <t>Задание взято, проектом не принято или в срок не сдано</t>
  </si>
  <si>
    <t>-5</t>
  </si>
  <si>
    <t>от -1 до -50</t>
  </si>
  <si>
    <t>брань, оскорбления, негативные комментарии или распространение конфликта участников за пределы Платформы (закрытых чатов участников)</t>
  </si>
  <si>
    <r>
      <t>При голосовании изменяется по формуле: </t>
    </r>
    <r>
      <rPr>
        <b/>
        <sz val="12"/>
        <color rgb="FF212529"/>
        <rFont val="Segoe UI"/>
        <family val="2"/>
        <charset val="204"/>
      </rPr>
      <t>1+((X/100)-(Y/100))</t>
    </r>
    <r>
      <rPr>
        <sz val="12"/>
        <color rgb="FF212529"/>
        <rFont val="Segoe UI"/>
        <family val="2"/>
        <charset val="204"/>
      </rPr>
      <t>, где X - репутация голосующего, Y - репутация пользователя, за чей ответ голосуют.</t>
    </r>
  </si>
  <si>
    <t xml:space="preserve"> Если результат получается меньше или равен нулю, то используется значение 0,01. При такой системе пользователь с большей репутацией имеет большее влияние при голосовании, и наоборот.</t>
  </si>
  <si>
    <t>Reddit</t>
  </si>
  <si>
    <t>Medium</t>
  </si>
  <si>
    <t>Bitcointalk</t>
  </si>
  <si>
    <t>Контакт</t>
  </si>
  <si>
    <t>7.1</t>
  </si>
  <si>
    <t>7.2</t>
  </si>
  <si>
    <t>Документация для сайта</t>
  </si>
  <si>
    <t>Полный пакет документации</t>
  </si>
  <si>
    <t>7.3</t>
  </si>
  <si>
    <t>7.4</t>
  </si>
  <si>
    <t>Английский вариант</t>
  </si>
  <si>
    <t>Китайский вариант</t>
  </si>
  <si>
    <t>голосование</t>
  </si>
  <si>
    <t xml:space="preserve"> Проверка</t>
  </si>
  <si>
    <t>в том числе:</t>
  </si>
  <si>
    <t>Решение</t>
  </si>
  <si>
    <t>Вынолнил</t>
  </si>
  <si>
    <t>Выполнил</t>
  </si>
  <si>
    <t>Кем</t>
  </si>
  <si>
    <t>кем</t>
  </si>
  <si>
    <t>Участники</t>
  </si>
  <si>
    <t>"game"</t>
  </si>
  <si>
    <t>"sweet"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</si>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</sst>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\ [$₽-419]_-;\-* #,##0\ [$₽-419]_-;_-* &quot;-&quot;\ [$₽-419]_-;_-@_-"/>
    <numFmt numFmtId="165" formatCode="0.0%"/>
  </numFmts>
  <fonts count="11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1"/>
      <color theme="1"/>
      <name val="Constantia"/>
      <family val="1"/>
      <scheme val="minor"/>
    </font>
    <font>
      <b/>
      <sz val="11"/>
      <color theme="1"/>
      <name val="Constantia"/>
      <family val="1"/>
      <charset val="204"/>
      <scheme val="minor"/>
    </font>
    <font>
      <b/>
      <sz val="20"/>
      <color rgb="FFFF0000"/>
      <name val="Constantia"/>
      <family val="1"/>
      <charset val="204"/>
      <scheme val="minor"/>
    </font>
    <font>
      <b/>
      <sz val="11"/>
      <color theme="1"/>
      <name val="Constantia"/>
      <scheme val="minor"/>
    </font>
    <font>
      <b/>
      <sz val="12"/>
      <color theme="1"/>
      <name val="Constantia"/>
      <family val="1"/>
      <charset val="204"/>
      <scheme val="minor"/>
    </font>
    <font>
      <sz val="8"/>
      <name val="Constantia"/>
      <family val="2"/>
      <scheme val="minor"/>
    </font>
    <font>
      <b/>
      <sz val="20"/>
      <color theme="1"/>
      <name val="Constantia"/>
      <family val="1"/>
      <charset val="204"/>
      <scheme val="minor"/>
    </font>
    <font>
      <sz val="12"/>
      <color rgb="FF212529"/>
      <name val="Segoe UI"/>
      <family val="2"/>
      <charset val="204"/>
    </font>
    <font>
      <b/>
      <sz val="12"/>
      <color rgb="FF212529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wrapText="1"/>
    </xf>
    <xf numFmtId="164" fontId="1" fillId="0" borderId="0" applyFont="0" applyFill="0" applyBorder="0" applyAlignment="0" applyProtection="0"/>
  </cellStyleXfs>
  <cellXfs count="172">
    <xf numFmtId="0" fontId="0" fillId="0" borderId="0" xfId="0">
      <alignment wrapText="1"/>
    </xf>
    <xf numFmtId="0" fontId="2" fillId="0" borderId="0" xfId="0" applyFont="1" applyBorder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165" fontId="0" fillId="0" borderId="0" xfId="0" applyNumberFormat="1">
      <alignment wrapText="1"/>
    </xf>
    <xf numFmtId="0" fontId="4" fillId="0" borderId="0" xfId="0" applyFont="1">
      <alignment wrapText="1"/>
    </xf>
    <xf numFmtId="0" fontId="0" fillId="0" borderId="0" xfId="0" applyAlignment="1">
      <alignment horizontal="center" wrapText="1"/>
    </xf>
    <xf numFmtId="165" fontId="3" fillId="4" borderId="3" xfId="0" applyNumberFormat="1" applyFont="1" applyFill="1" applyBorder="1" applyAlignment="1">
      <alignment horizontal="center" wrapText="1"/>
    </xf>
    <xf numFmtId="0" fontId="0" fillId="4" borderId="0" xfId="0" applyFill="1" applyBorder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 wrapText="1"/>
    </xf>
    <xf numFmtId="9" fontId="4" fillId="0" borderId="0" xfId="0" applyNumberFormat="1" applyFont="1">
      <alignment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65" fontId="0" fillId="5" borderId="0" xfId="0" applyNumberFormat="1" applyFill="1" applyAlignment="1">
      <alignment vertical="center" wrapText="1"/>
    </xf>
    <xf numFmtId="0" fontId="0" fillId="6" borderId="0" xfId="0" applyFill="1" applyAlignment="1">
      <alignment vertical="center" wrapText="1"/>
    </xf>
    <xf numFmtId="165" fontId="0" fillId="6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5" fillId="0" borderId="4" xfId="0" applyFont="1" applyBorder="1" applyAlignment="1">
      <alignment horizontal="left" wrapText="1"/>
    </xf>
    <xf numFmtId="9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>
      <alignment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0" fontId="0" fillId="6" borderId="0" xfId="0" applyFill="1">
      <alignment wrapText="1"/>
    </xf>
    <xf numFmtId="3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  <xf numFmtId="0" fontId="0" fillId="3" borderId="0" xfId="0" applyFill="1">
      <alignment wrapText="1"/>
    </xf>
    <xf numFmtId="0" fontId="0" fillId="4" borderId="5" xfId="0" applyFill="1" applyBorder="1">
      <alignment wrapText="1"/>
    </xf>
    <xf numFmtId="165" fontId="0" fillId="0" borderId="0" xfId="0" applyNumberFormat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0" fontId="0" fillId="0" borderId="5" xfId="0" applyBorder="1">
      <alignment wrapText="1"/>
    </xf>
    <xf numFmtId="0" fontId="3" fillId="0" borderId="0" xfId="0" applyFont="1">
      <alignment wrapText="1"/>
    </xf>
    <xf numFmtId="165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>
      <alignment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>
      <alignment wrapText="1"/>
    </xf>
    <xf numFmtId="165" fontId="3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3" fillId="7" borderId="0" xfId="0" applyFont="1" applyFill="1">
      <alignment wrapText="1"/>
    </xf>
    <xf numFmtId="3" fontId="3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>
      <alignment wrapText="1"/>
    </xf>
    <xf numFmtId="3" fontId="0" fillId="3" borderId="8" xfId="0" applyNumberForma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5" borderId="9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2" xfId="0" applyFill="1" applyBorder="1">
      <alignment wrapText="1"/>
    </xf>
    <xf numFmtId="0" fontId="6" fillId="2" borderId="1" xfId="0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3" fontId="6" fillId="8" borderId="0" xfId="0" applyNumberFormat="1" applyFont="1" applyFill="1" applyAlignment="1">
      <alignment horizontal="center" vertical="center" wrapText="1"/>
    </xf>
    <xf numFmtId="9" fontId="0" fillId="8" borderId="0" xfId="1" applyNumberFormat="1" applyFont="1" applyFill="1" applyBorder="1" applyAlignment="1">
      <alignment horizont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>
      <alignment wrapText="1"/>
    </xf>
    <xf numFmtId="3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>
      <alignment wrapText="1"/>
    </xf>
    <xf numFmtId="49" fontId="0" fillId="3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0" fontId="0" fillId="0" borderId="13" xfId="0" applyBorder="1">
      <alignment wrapText="1"/>
    </xf>
    <xf numFmtId="49" fontId="0" fillId="5" borderId="13" xfId="0" applyNumberFormat="1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165" fontId="0" fillId="5" borderId="13" xfId="0" applyNumberFormat="1" applyFill="1" applyBorder="1" applyAlignment="1">
      <alignment horizontal="center" vertical="center" wrapText="1"/>
    </xf>
    <xf numFmtId="3" fontId="0" fillId="5" borderId="13" xfId="0" applyNumberFormat="1" applyFill="1" applyBorder="1" applyAlignment="1">
      <alignment horizontal="center" vertical="center" wrapText="1"/>
    </xf>
    <xf numFmtId="3" fontId="0" fillId="5" borderId="13" xfId="0" applyNumberFormat="1" applyFill="1" applyBorder="1" applyAlignment="1">
      <alignment horizontal="center" wrapText="1"/>
    </xf>
    <xf numFmtId="49" fontId="0" fillId="3" borderId="13" xfId="0" applyNumberFormat="1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165" fontId="0" fillId="3" borderId="13" xfId="0" applyNumberFormat="1" applyFill="1" applyBorder="1" applyAlignment="1">
      <alignment horizontal="center" vertical="center" wrapText="1"/>
    </xf>
    <xf numFmtId="3" fontId="0" fillId="3" borderId="13" xfId="0" applyNumberFormat="1" applyFill="1" applyBorder="1" applyAlignment="1">
      <alignment horizontal="center" wrapText="1"/>
    </xf>
    <xf numFmtId="3" fontId="0" fillId="3" borderId="13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vertical="center" wrapText="1"/>
    </xf>
    <xf numFmtId="165" fontId="0" fillId="5" borderId="14" xfId="0" applyNumberFormat="1" applyFill="1" applyBorder="1" applyAlignment="1">
      <alignment horizontal="center" vertical="center" wrapText="1"/>
    </xf>
    <xf numFmtId="3" fontId="0" fillId="5" borderId="14" xfId="0" applyNumberFormat="1" applyFill="1" applyBorder="1" applyAlignment="1">
      <alignment horizontal="center" wrapText="1"/>
    </xf>
    <xf numFmtId="3" fontId="0" fillId="5" borderId="14" xfId="0" applyNumberFormat="1" applyFill="1" applyBorder="1" applyAlignment="1">
      <alignment horizontal="center" vertical="center" wrapText="1"/>
    </xf>
    <xf numFmtId="0" fontId="0" fillId="3" borderId="13" xfId="0" applyFill="1" applyBorder="1">
      <alignment wrapText="1"/>
    </xf>
    <xf numFmtId="0" fontId="0" fillId="0" borderId="0" xfId="0" applyNumberFormat="1">
      <alignment wrapText="1"/>
    </xf>
    <xf numFmtId="0" fontId="0" fillId="0" borderId="0" xfId="0" applyNumberFormat="1" applyAlignment="1">
      <alignment horizontal="center" wrapText="1"/>
    </xf>
    <xf numFmtId="3" fontId="0" fillId="3" borderId="0" xfId="0" applyNumberFormat="1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4" fontId="0" fillId="5" borderId="0" xfId="0" applyNumberFormat="1" applyFill="1" applyAlignment="1">
      <alignment vertical="center" wrapText="1"/>
    </xf>
    <xf numFmtId="3" fontId="0" fillId="2" borderId="15" xfId="0" applyNumberFormat="1" applyFont="1" applyFill="1" applyBorder="1">
      <alignment wrapText="1"/>
    </xf>
    <xf numFmtId="10" fontId="0" fillId="0" borderId="0" xfId="0" applyNumberFormat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5" borderId="11" xfId="0" applyNumberFormat="1" applyFill="1" applyBorder="1" applyAlignment="1">
      <alignment vertical="center" wrapText="1"/>
    </xf>
    <xf numFmtId="14" fontId="0" fillId="0" borderId="0" xfId="0" applyNumberFormat="1">
      <alignment wrapText="1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165" fontId="0" fillId="10" borderId="0" xfId="0" applyNumberFormat="1" applyFill="1" applyAlignment="1">
      <alignment vertical="center" wrapText="1"/>
    </xf>
    <xf numFmtId="0" fontId="0" fillId="10" borderId="0" xfId="0" applyFill="1">
      <alignment wrapText="1"/>
    </xf>
    <xf numFmtId="3" fontId="0" fillId="10" borderId="0" xfId="0" applyNumberFormat="1" applyFill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0" fontId="0" fillId="10" borderId="11" xfId="0" applyFill="1" applyBorder="1" applyAlignment="1">
      <alignment vertical="center" wrapText="1"/>
    </xf>
    <xf numFmtId="165" fontId="0" fillId="10" borderId="0" xfId="0" applyNumberFormat="1" applyFill="1" applyAlignment="1">
      <alignment horizontal="center" vertical="center" wrapText="1"/>
    </xf>
    <xf numFmtId="3" fontId="0" fillId="10" borderId="7" xfId="0" applyNumberFormat="1" applyFill="1" applyBorder="1" applyAlignment="1">
      <alignment horizontal="center" vertical="center" wrapText="1"/>
    </xf>
    <xf numFmtId="3" fontId="0" fillId="10" borderId="8" xfId="0" applyNumberFormat="1" applyFill="1" applyBorder="1" applyAlignment="1">
      <alignment horizontal="center" vertical="center" wrapText="1"/>
    </xf>
    <xf numFmtId="49" fontId="0" fillId="10" borderId="11" xfId="0" applyNumberFormat="1" applyFill="1" applyBorder="1" applyAlignment="1">
      <alignment vertical="center" wrapText="1"/>
    </xf>
    <xf numFmtId="49" fontId="0" fillId="10" borderId="13" xfId="0" applyNumberFormat="1" applyFill="1" applyBorder="1" applyAlignment="1">
      <alignment vertical="center" wrapText="1"/>
    </xf>
    <xf numFmtId="0" fontId="0" fillId="10" borderId="13" xfId="0" applyFill="1" applyBorder="1" applyAlignment="1">
      <alignment vertical="center" wrapText="1"/>
    </xf>
    <xf numFmtId="165" fontId="0" fillId="10" borderId="13" xfId="0" applyNumberFormat="1" applyFill="1" applyBorder="1" applyAlignment="1">
      <alignment horizontal="center" vertical="center" wrapText="1"/>
    </xf>
    <xf numFmtId="3" fontId="0" fillId="10" borderId="13" xfId="0" applyNumberFormat="1" applyFill="1" applyBorder="1" applyAlignment="1">
      <alignment horizontal="center" wrapText="1"/>
    </xf>
    <xf numFmtId="3" fontId="0" fillId="10" borderId="13" xfId="0" applyNumberFormat="1" applyFill="1" applyBorder="1" applyAlignment="1">
      <alignment horizontal="center" vertical="center" wrapText="1"/>
    </xf>
    <xf numFmtId="49" fontId="0" fillId="10" borderId="0" xfId="0" applyNumberFormat="1" applyFill="1" applyAlignment="1">
      <alignment vertical="center" wrapText="1"/>
    </xf>
    <xf numFmtId="3" fontId="0" fillId="10" borderId="0" xfId="0" applyNumberFormat="1" applyFill="1" applyAlignment="1">
      <alignment horizontal="center" wrapText="1"/>
    </xf>
    <xf numFmtId="4" fontId="0" fillId="10" borderId="0" xfId="0" applyNumberFormat="1" applyFill="1" applyAlignment="1">
      <alignment vertical="center" wrapText="1"/>
    </xf>
    <xf numFmtId="4" fontId="0" fillId="0" borderId="0" xfId="0" applyNumberFormat="1">
      <alignment wrapText="1"/>
    </xf>
    <xf numFmtId="0" fontId="0" fillId="1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wrapText="1"/>
    </xf>
    <xf numFmtId="3" fontId="0" fillId="0" borderId="13" xfId="0" applyNumberFormat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wrapText="1"/>
    </xf>
    <xf numFmtId="0" fontId="3" fillId="11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0" xfId="0" applyFont="1" applyAlignment="1">
      <alignment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165" fontId="0" fillId="6" borderId="0" xfId="0" applyNumberFormat="1" applyFill="1" applyAlignment="1">
      <alignment horizontal="center" vertical="center" wrapText="1"/>
    </xf>
    <xf numFmtId="49" fontId="0" fillId="6" borderId="0" xfId="0" applyNumberFormat="1" applyFill="1" applyAlignment="1">
      <alignment vertical="center" wrapText="1"/>
    </xf>
    <xf numFmtId="0" fontId="8" fillId="9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Денежный" xfId="1" builtinId="4" customBuiltin="1"/>
    <cellStyle name="Обычный" xfId="0" builtinId="0" customBuiltin="1"/>
  </cellStyles>
  <dxfs count="19">
    <dxf>
      <numFmt numFmtId="14" formatCode="0.00%"/>
      <alignment horizontal="center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family val="2"/>
        <scheme val="minor"/>
      </font>
      <numFmt numFmtId="3" formatCode="#,##0"/>
      <alignment horizontal="general" vertical="bottom" textRotation="0" wrapText="0" indent="0" justifyLastLine="0" shrinkToFit="0" readingOrder="0"/>
    </dxf>
    <dxf>
      <numFmt numFmtId="164" formatCode="_-* #,##0\ [$₽-419]_-;\-* #,##0\ [$₽-419]_-;_-* &quot;-&quot;\ [$₽-419]_-;_-@_-"/>
      <alignment horizontal="general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family val="2"/>
        <scheme val="minor"/>
      </font>
      <numFmt numFmtId="3" formatCode="#,##0"/>
      <alignment horizontal="general" vertical="bottom" textRotation="0" wrapText="0" indent="0" justifyLastLine="0" shrinkToFit="0" readingOrder="0"/>
    </dxf>
    <dxf>
      <numFmt numFmtId="164" formatCode="_-* #,##0\ [$₽-419]_-;\-* #,##0\ [$₽-419]_-;_-* &quot;-&quot;\ [$₽-419]_-;_-@_-"/>
      <alignment horizontal="general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Активы" pivot="0" count="4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Проект Лореленд состоит из</a:t>
            </a:r>
            <a:r>
              <a:rPr lang="en-US"/>
              <a:t> </a:t>
            </a:r>
            <a:r>
              <a:rPr lang="ru-RU"/>
              <a:t>разделов:</a:t>
            </a:r>
            <a:endParaRPr lang="en-US"/>
          </a:p>
        </c:rich>
      </c:tx>
      <c:overlay val="0"/>
    </c:title>
    <c:autoTitleDeleted val="0"/>
    <c:view3D>
      <c:rotX val="30"/>
      <c:rotY val="21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'Части проекта'!$C$4</c:f>
              <c:strCache>
                <c:ptCount val="1"/>
                <c:pt idx="0">
                  <c:v>Доля</c:v>
                </c:pt>
              </c:strCache>
            </c:strRef>
          </c:tx>
          <c:spPr>
            <a:ln w="19050"/>
            <a:effectLst>
              <a:outerShdw blurRad="114300" dist="368300" dir="6900000" sx="101000" sy="101000" rotWithShape="0">
                <a:prstClr val="black">
                  <a:alpha val="22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502400" h="6502400"/>
              <a:bevelB w="6502400" h="6502400"/>
              <a:contourClr>
                <a:srgbClr val="000000"/>
              </a:contourClr>
            </a:sp3d>
          </c:spPr>
          <c:explosion val="1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300"/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'Части проекта'!$B$5:$B$19</c:f>
              <c:strCache>
                <c:ptCount val="15"/>
                <c:pt idx="0">
                  <c:v>Идея</c:v>
                </c:pt>
                <c:pt idx="1">
                  <c:v>Концепция</c:v>
                </c:pt>
                <c:pt idx="2">
                  <c:v>Сайт</c:v>
                </c:pt>
                <c:pt idx="3">
                  <c:v>Документация (whitepaper)</c:v>
                </c:pt>
                <c:pt idx="4">
                  <c:v>Демо</c:v>
                </c:pt>
                <c:pt idx="5">
                  <c:v>Сообщество</c:v>
                </c:pt>
                <c:pt idx="6">
                  <c:v>Прототип(MVP)</c:v>
                </c:pt>
                <c:pt idx="7">
                  <c:v>Маркетинг</c:v>
                </c:pt>
                <c:pt idx="8">
                  <c:v>Мобильная версия (iOS+Andr.)</c:v>
                </c:pt>
                <c:pt idx="9">
                  <c:v>Рабочая версия (РС)</c:v>
                </c:pt>
                <c:pt idx="10">
                  <c:v>Особая часть проекта</c:v>
                </c:pt>
                <c:pt idx="14">
                  <c:v>Итого:</c:v>
                </c:pt>
              </c:strCache>
            </c:strRef>
          </c:cat>
          <c:val>
            <c:numRef>
              <c:f>'Части проекта'!$C$5:$C$15</c:f>
              <c:numCache>
                <c:formatCode>0%</c:formatCode>
                <c:ptCount val="11"/>
                <c:pt idx="0">
                  <c:v>0.05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0.05</c:v>
                </c:pt>
                <c:pt idx="4">
                  <c:v>0.01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0.05</c:v>
                </c:pt>
                <c:pt idx="9">
                  <c:v>0.08</c:v>
                </c:pt>
                <c:pt idx="1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1D9-8667-C218A55659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 w="12700">
      <a:solidFill>
        <a:schemeClr val="tx1">
          <a:alpha val="36000"/>
        </a:schemeClr>
      </a:solidFill>
    </a:ln>
    <a:effectLst>
      <a:outerShdw blurRad="50800" dist="50800" dir="2700000" algn="ctr" rotWithShape="0">
        <a:sysClr val="windowText" lastClr="000000"/>
      </a:outerShdw>
    </a:effectLst>
    <a:scene3d>
      <a:camera prst="orthographicFront"/>
      <a:lightRig rig="threePt" dir="t"/>
    </a:scene3d>
    <a:sp3d prstMaterial="powder"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Начислено наград</a:t>
            </a:r>
            <a:r>
              <a:rPr lang="ru-RU" baseline="0"/>
              <a:t> по разделам на 11.06.2019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2C-48AD-8BD3-B08079CEBB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2C-48AD-8BD3-B08079CEBB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2C-48AD-8BD3-B08079CEBB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2C-48AD-8BD3-B08079CEBB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2C-48AD-8BD3-B08079CEBB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2C-48AD-8BD3-B08079CEBB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E-4564-A7FA-207C54EBAC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F6-43CA-AF3E-13AD5EC1DD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F6-43CA-AF3E-13AD5EC1DD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F6-43CA-AF3E-13AD5EC1DD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F6-43CA-AF3E-13AD5EC1D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Выплаты!$J$4:$J$14</c:f>
              <c:strCache>
                <c:ptCount val="11"/>
                <c:pt idx="0">
                  <c:v>Идея</c:v>
                </c:pt>
                <c:pt idx="1">
                  <c:v>Концепция</c:v>
                </c:pt>
                <c:pt idx="2">
                  <c:v>Сайт</c:v>
                </c:pt>
                <c:pt idx="3">
                  <c:v>Документация (whitepaper)</c:v>
                </c:pt>
                <c:pt idx="4">
                  <c:v>Демо</c:v>
                </c:pt>
                <c:pt idx="5">
                  <c:v>Сообщество</c:v>
                </c:pt>
                <c:pt idx="6">
                  <c:v>Прототип(MVP)</c:v>
                </c:pt>
                <c:pt idx="7">
                  <c:v>Маркетинг</c:v>
                </c:pt>
                <c:pt idx="8">
                  <c:v>Мобильная версия (iOS+Andr.)</c:v>
                </c:pt>
                <c:pt idx="9">
                  <c:v>Рабочая версия (РС)</c:v>
                </c:pt>
                <c:pt idx="10">
                  <c:v>Особая часть проекта</c:v>
                </c:pt>
              </c:strCache>
            </c:strRef>
          </c:cat>
          <c:val>
            <c:numRef>
              <c:f>Выплаты!$K$4:$K$14</c:f>
              <c:numCache>
                <c:formatCode>#,##0</c:formatCode>
                <c:ptCount val="11"/>
                <c:pt idx="0">
                  <c:v>2700000</c:v>
                </c:pt>
                <c:pt idx="1">
                  <c:v>2060000</c:v>
                </c:pt>
                <c:pt idx="2">
                  <c:v>300000</c:v>
                </c:pt>
                <c:pt idx="3">
                  <c:v>375000</c:v>
                </c:pt>
                <c:pt idx="4">
                  <c:v>150000</c:v>
                </c:pt>
                <c:pt idx="5">
                  <c:v>175000</c:v>
                </c:pt>
                <c:pt idx="6">
                  <c:v>1300000</c:v>
                </c:pt>
                <c:pt idx="10" formatCode="#,##0.0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AF5-88A1-B843235CC7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Оценка проекта и цена токена, </a:t>
            </a:r>
            <a:r>
              <a:rPr lang="en-US" sz="1600" b="1"/>
              <a:t>$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Цена!$E$4:$E$14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  <c:pt idx="9">
                  <c:v>0.51200000000000001</c:v>
                </c:pt>
                <c:pt idx="10" formatCode="0">
                  <c:v>1.024</c:v>
                </c:pt>
              </c:numCache>
            </c:numRef>
          </c:xVal>
          <c:yVal>
            <c:numRef>
              <c:f>Цена!$G$4:$G$14</c:f>
              <c:numCache>
                <c:formatCode>#,##0</c:formatCode>
                <c:ptCount val="11"/>
                <c:pt idx="0">
                  <c:v>2950.0000000000005</c:v>
                </c:pt>
                <c:pt idx="1">
                  <c:v>13320.000000000002</c:v>
                </c:pt>
                <c:pt idx="2">
                  <c:v>29440.000000000004</c:v>
                </c:pt>
                <c:pt idx="3">
                  <c:v>82880</c:v>
                </c:pt>
                <c:pt idx="4">
                  <c:v>173760</c:v>
                </c:pt>
                <c:pt idx="5">
                  <c:v>443520</c:v>
                </c:pt>
                <c:pt idx="6">
                  <c:v>1200640</c:v>
                </c:pt>
                <c:pt idx="7">
                  <c:v>3681280</c:v>
                </c:pt>
                <c:pt idx="8">
                  <c:v>8194560</c:v>
                </c:pt>
                <c:pt idx="9">
                  <c:v>19051520</c:v>
                </c:pt>
                <c:pt idx="10">
                  <c:v>59115520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E-4583-823D-83D5A5EE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43776"/>
        <c:axId val="558143448"/>
      </c:scatterChart>
      <c:valAx>
        <c:axId val="5581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токена,</a:t>
                </a:r>
                <a:r>
                  <a:rPr lang="ru-RU" baseline="0"/>
                  <a:t> </a:t>
                </a:r>
                <a:r>
                  <a:rPr lang="en-US" baseline="0"/>
                  <a:t>$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43448"/>
        <c:crosses val="autoZero"/>
        <c:crossBetween val="midCat"/>
      </c:valAx>
      <c:valAx>
        <c:axId val="5581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 проека, </a:t>
                </a: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1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3</xdr:row>
      <xdr:rowOff>47625</xdr:rowOff>
    </xdr:from>
    <xdr:to>
      <xdr:col>6</xdr:col>
      <xdr:colOff>47625</xdr:colOff>
      <xdr:row>14</xdr:row>
      <xdr:rowOff>266700</xdr:rowOff>
    </xdr:to>
    <xdr:graphicFrame macro="">
      <xdr:nvGraphicFramePr>
        <xdr:cNvPr id="2" name="Мои активы" descr="Трехмерная круговая диаграмма, показывающая деление активов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3</xdr:row>
      <xdr:rowOff>9524</xdr:rowOff>
    </xdr:from>
    <xdr:to>
      <xdr:col>19</xdr:col>
      <xdr:colOff>95250</xdr:colOff>
      <xdr:row>21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331997-1838-4B02-9B76-DB5E7C8E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0.67742</cdr:x>
      <cdr:y>0.89444</cdr:y>
    </cdr:from>
    <cdr:to>
      <cdr:x>0.96285</cdr:x>
      <cdr:y>0.95556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4E9DCD-7C8B-40B3-A787-5CE977BFE36F}"/>
            </a:ext>
          </a:extLst>
        </cdr:cNvPr>
        <cdr:cNvSpPr txBox="1"/>
      </cdr:nvSpPr>
      <cdr:spPr>
        <a:xfrm xmlns:a="http://schemas.openxmlformats.org/drawingml/2006/main">
          <a:off x="3300413" y="3067051"/>
          <a:ext cx="13906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16</xdr:row>
      <xdr:rowOff>104774</xdr:rowOff>
    </xdr:from>
    <xdr:to>
      <xdr:col>7</xdr:col>
      <xdr:colOff>1047749</xdr:colOff>
      <xdr:row>40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1CCF59-EC38-4AB1-B2A7-2238C428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2;&#1086;&#1101;&#1092;&#1092;%20&#1091;&#1076;&#1086;&#1088;&#1086;&#1078;&#1072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D4">
            <v>1E-3</v>
          </cell>
        </row>
        <row r="5">
          <cell r="D5">
            <v>2E-3</v>
          </cell>
        </row>
        <row r="6">
          <cell r="D6">
            <v>4.0000000000000001E-3</v>
          </cell>
        </row>
        <row r="7">
          <cell r="D7">
            <v>8.0000000000000002E-3</v>
          </cell>
        </row>
        <row r="8">
          <cell r="D8">
            <v>1.6E-2</v>
          </cell>
        </row>
        <row r="9">
          <cell r="D9">
            <v>3.2000000000000001E-2</v>
          </cell>
        </row>
        <row r="10">
          <cell r="D10">
            <v>6.4000000000000001E-2</v>
          </cell>
        </row>
        <row r="11">
          <cell r="D11">
            <v>0.128</v>
          </cell>
        </row>
        <row r="12">
          <cell r="D12">
            <v>0.25600000000000001</v>
          </cell>
        </row>
        <row r="13">
          <cell r="D13">
            <v>0.51200000000000001</v>
          </cell>
        </row>
        <row r="14">
          <cell r="D14">
            <v>1.024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Активы" displayName="Активы" ref="B4:D15" headerRowDxfId="14">
  <autoFilter ref="B4:D15" xr:uid="{00000000-0009-0000-0100-000001000000}"/>
  <tableColumns count="3">
    <tableColumn id="1" xr3:uid="{00000000-0010-0000-0000-000001000000}" name="Раздел" totalsRowLabel="Итог" dataDxfId="13" totalsRowDxfId="12" dataCellStyle="Обычный"/>
    <tableColumn id="2" xr3:uid="{00000000-0010-0000-0000-000002000000}" name="Доля" totalsRowFunction="sum" dataDxfId="11" totalsRowDxfId="10" dataCellStyle="Денежный"/>
    <tableColumn id="3" xr3:uid="{78A595ED-B15E-4227-BAA5-7E8495CF0C4C}" name="Число токенов" dataDxfId="9" dataCellStyle="Денежный">
      <calculatedColumnFormula>D19*Активы[[#This Row],[Доля]]</calculatedColumnFormula>
    </tableColumn>
  </tableColumns>
  <tableStyleInfo name="Активы" showFirstColumn="0" showLastColumn="0" showRowStripes="1" showColumnStripes="0"/>
  <extLst>
    <ext xmlns:x14="http://schemas.microsoft.com/office/spreadsheetml/2009/9/main" uri="{504A1905-F514-4f6f-8877-14C23A59335A}">
      <x14:table altTextSummary="Введите типы активов и соответствующие суммы в этой таблице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3A93E-B3BA-4C49-A846-763C9BC556A6}" name="Активы3" displayName="Активы3" ref="B3:G14" headerRowDxfId="8">
  <autoFilter ref="B3:G14" xr:uid="{B16AAFE2-E5FA-4A8E-A10B-D700312DD241}"/>
  <tableColumns count="6">
    <tableColumn id="1" xr3:uid="{88C336DA-25CE-4106-A35F-49C97AB24A6E}" name="Раздел" totalsRowLabel="Итог" dataDxfId="7" totalsRowDxfId="6" dataCellStyle="Обычный"/>
    <tableColumn id="2" xr3:uid="{57F4E66E-1865-4BFB-910F-06D4CA8A5655}" name="Доля" totalsRowFunction="sum" dataDxfId="5" totalsRowDxfId="4" dataCellStyle="Денежный"/>
    <tableColumn id="3" xr3:uid="{D9C42AA5-747F-458B-BA0F-5357538902CD}" name="Число токенов" dataDxfId="3" dataCellStyle="Денежный">
      <calculatedColumnFormula>D18*Активы3[[#This Row],[Доля]]</calculatedColumnFormula>
    </tableColumn>
    <tableColumn id="4" xr3:uid="{68933AA5-6881-400D-A656-2F72C643C037}" name="Выплачено по разделам:" dataDxfId="2">
      <calculatedColumnFormula>Выплаты!K4</calculatedColumnFormula>
    </tableColumn>
    <tableColumn id="5" xr3:uid="{498E8B09-5E10-4754-8318-D3D16EF74C80}" name="Токенов без резерва" dataDxfId="1">
      <calculatedColumnFormula>Активы3[[#This Row],[Число токенов]]-'1.Идея'!G16</calculatedColumnFormula>
    </tableColumn>
    <tableColumn id="6" xr3:uid="{F5006983-F9B8-4FBB-BC00-0D6094757FDB}" name="% выполнения" dataDxfId="0">
      <calculatedColumnFormula>Активы3[[#This Row],[Выплачено по разделам:]]/Активы3[[#This Row],[Токенов без резерва]]</calculatedColumnFormula>
    </tableColumn>
  </tableColumns>
  <tableStyleInfo name="Активы" showFirstColumn="0" showLastColumn="0" showRowStripes="1" showColumnStripes="0"/>
  <extLst>
    <ext xmlns:x14="http://schemas.microsoft.com/office/spreadsheetml/2009/9/main" uri="{504A1905-F514-4f6f-8877-14C23A59335A}">
      <x14:table altTextSummary="Введите типы активов и соответствующие суммы в этой таблице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er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2:F19"/>
  <sheetViews>
    <sheetView showGridLines="0" workbookViewId="0">
      <selection activeCell="B13" sqref="B13"/>
    </sheetView>
  </sheetViews>
  <sheetFormatPr defaultRowHeight="30" customHeight="1" x14ac:dyDescent="0.25"/>
  <cols>
    <col min="1" max="1" width="2.625" customWidth="1"/>
    <col min="2" max="2" width="15.625" customWidth="1"/>
    <col min="3" max="3" width="9.625" customWidth="1"/>
    <col min="4" max="4" width="15.75" customWidth="1"/>
    <col min="5" max="5" width="2.625" customWidth="1"/>
    <col min="6" max="6" width="105.625" customWidth="1"/>
    <col min="7" max="7" width="2.625" customWidth="1"/>
    <col min="18" max="18" width="9" customWidth="1"/>
  </cols>
  <sheetData>
    <row r="2" spans="1:6" ht="30" customHeight="1" x14ac:dyDescent="0.25">
      <c r="B2" s="161" t="s">
        <v>138</v>
      </c>
      <c r="C2" s="161"/>
      <c r="D2" s="161"/>
      <c r="E2" s="161"/>
      <c r="F2" s="161"/>
    </row>
    <row r="4" spans="1:6" ht="30" customHeight="1" x14ac:dyDescent="0.25">
      <c r="B4" s="1" t="s">
        <v>79</v>
      </c>
      <c r="C4" s="1" t="s">
        <v>0</v>
      </c>
      <c r="D4" s="23" t="s">
        <v>55</v>
      </c>
    </row>
    <row r="5" spans="1:6" ht="30" customHeight="1" x14ac:dyDescent="0.25">
      <c r="A5" s="7">
        <v>1</v>
      </c>
      <c r="B5" s="2" t="s">
        <v>1</v>
      </c>
      <c r="C5" s="66">
        <f>'1.Идея'!A1</f>
        <v>0.05</v>
      </c>
      <c r="D5" s="25">
        <f>D19*Активы[[#This Row],[Доля]]</f>
        <v>5000000</v>
      </c>
    </row>
    <row r="6" spans="1:6" ht="30" customHeight="1" x14ac:dyDescent="0.25">
      <c r="A6" s="7">
        <v>2</v>
      </c>
      <c r="B6" s="2" t="s">
        <v>2</v>
      </c>
      <c r="C6" s="66">
        <f>'2.Конц.'!A1</f>
        <v>7.0000000000000007E-2</v>
      </c>
      <c r="D6" s="25">
        <f>D19*Активы[[#This Row],[Доля]]</f>
        <v>7000000.0000000009</v>
      </c>
    </row>
    <row r="7" spans="1:6" ht="30" customHeight="1" x14ac:dyDescent="0.25">
      <c r="A7" s="7">
        <v>3</v>
      </c>
      <c r="B7" s="2" t="s">
        <v>4</v>
      </c>
      <c r="C7" s="66">
        <f>'3.Сайт'!A1</f>
        <v>0.01</v>
      </c>
      <c r="D7" s="25">
        <f>D19*Активы[[#This Row],[Доля]]</f>
        <v>1000000</v>
      </c>
    </row>
    <row r="8" spans="1:6" ht="30" customHeight="1" x14ac:dyDescent="0.25">
      <c r="A8" s="7">
        <v>4</v>
      </c>
      <c r="B8" s="3" t="s">
        <v>5</v>
      </c>
      <c r="C8" s="66">
        <f>'4.Док.'!A1</f>
        <v>0.05</v>
      </c>
      <c r="D8" s="25">
        <f>D19*Активы[[#This Row],[Доля]]</f>
        <v>5000000</v>
      </c>
    </row>
    <row r="9" spans="1:6" ht="30" customHeight="1" x14ac:dyDescent="0.25">
      <c r="A9" s="7">
        <v>5</v>
      </c>
      <c r="B9" s="2" t="s">
        <v>3</v>
      </c>
      <c r="C9" s="66">
        <f>'5.Демо'!A1</f>
        <v>0.01</v>
      </c>
      <c r="D9" s="25">
        <f>D19*Активы[[#This Row],[Доля]]</f>
        <v>1000000</v>
      </c>
    </row>
    <row r="10" spans="1:6" ht="30" customHeight="1" x14ac:dyDescent="0.25">
      <c r="A10" s="7">
        <v>6</v>
      </c>
      <c r="B10" s="3" t="s">
        <v>28</v>
      </c>
      <c r="C10" s="66">
        <f>'6.Сооб.'!A1</f>
        <v>0.05</v>
      </c>
      <c r="D10" s="25">
        <f>D19*Активы[[#This Row],[Доля]]</f>
        <v>5000000</v>
      </c>
    </row>
    <row r="11" spans="1:6" ht="30" customHeight="1" x14ac:dyDescent="0.25">
      <c r="A11" s="7">
        <v>7</v>
      </c>
      <c r="B11" s="4" t="s">
        <v>89</v>
      </c>
      <c r="C11" s="66">
        <f>'7.Прото.'!A1</f>
        <v>7.0000000000000007E-2</v>
      </c>
      <c r="D11" s="25">
        <f>D19*Активы[[#This Row],[Доля]]</f>
        <v>7000000.0000000009</v>
      </c>
    </row>
    <row r="12" spans="1:6" ht="30.75" customHeight="1" x14ac:dyDescent="0.25">
      <c r="A12" s="7">
        <v>8</v>
      </c>
      <c r="B12" s="3" t="s">
        <v>9</v>
      </c>
      <c r="C12" s="66">
        <f>'8. Маркет.'!A1</f>
        <v>0.2</v>
      </c>
      <c r="D12" s="25">
        <f>D19*Активы[[#This Row],[Доля]]</f>
        <v>20000000</v>
      </c>
    </row>
    <row r="13" spans="1:6" ht="30" customHeight="1" x14ac:dyDescent="0.25">
      <c r="A13" s="7">
        <v>9</v>
      </c>
      <c r="B13" s="3" t="s">
        <v>8</v>
      </c>
      <c r="C13" s="66">
        <f>'9. Моб.в.'!A1</f>
        <v>0.05</v>
      </c>
      <c r="D13" s="25">
        <f>D19*Активы[[#This Row],[Доля]]</f>
        <v>5000000</v>
      </c>
    </row>
    <row r="14" spans="1:6" ht="30" customHeight="1" x14ac:dyDescent="0.25">
      <c r="A14" s="7">
        <v>10</v>
      </c>
      <c r="B14" s="2" t="s">
        <v>7</v>
      </c>
      <c r="C14" s="66">
        <f>'10. РС в.'!A1</f>
        <v>0.08</v>
      </c>
      <c r="D14" s="25">
        <f>D19*Активы[[#This Row],[Доля]]</f>
        <v>8000000</v>
      </c>
    </row>
    <row r="15" spans="1:6" ht="30" customHeight="1" x14ac:dyDescent="0.25">
      <c r="A15" s="7">
        <v>11</v>
      </c>
      <c r="B15" s="3" t="s">
        <v>10</v>
      </c>
      <c r="C15" s="24">
        <f>100%-SUM(C5:C14)</f>
        <v>0.36</v>
      </c>
      <c r="D15" s="25">
        <f>D19*Активы[[#This Row],[Доля]]</f>
        <v>36000000</v>
      </c>
    </row>
    <row r="16" spans="1:6" ht="30" customHeight="1" x14ac:dyDescent="0.25">
      <c r="D16" s="26"/>
    </row>
    <row r="17" spans="2:4" ht="30" customHeight="1" x14ac:dyDescent="0.25">
      <c r="D17" s="26"/>
    </row>
    <row r="18" spans="2:4" ht="30" customHeight="1" x14ac:dyDescent="0.25">
      <c r="D18" s="26"/>
    </row>
    <row r="19" spans="2:4" ht="30" customHeight="1" x14ac:dyDescent="0.25">
      <c r="B19" s="63" t="s">
        <v>6</v>
      </c>
      <c r="C19" s="64">
        <f>SUM(C5:C18)</f>
        <v>1</v>
      </c>
      <c r="D19" s="65">
        <v>100000000</v>
      </c>
    </row>
  </sheetData>
  <mergeCells count="1">
    <mergeCell ref="B2:F2"/>
  </mergeCells>
  <dataValidations count="4">
    <dataValidation allowBlank="1" showInputMessage="1" showErrorMessage="1" prompt="Создайте современную круговую диаграмму на этом листе. Введите сведения об активах в таблице активов, начиная с ячейки B1. Круговая диаграмма, показывающая деление активов, находится в ячейке E2" sqref="A4" xr:uid="{00000000-0002-0000-0000-000000000000}"/>
    <dataValidation allowBlank="1" showInputMessage="1" showErrorMessage="1" prompt="В столбце под этим заголовком введите тип актива. Для поиска нужных записей используйте фильтры в заголовке" sqref="B4" xr:uid="{00000000-0002-0000-0000-000001000000}"/>
    <dataValidation allowBlank="1" showInputMessage="1" showErrorMessage="1" prompt="В столбце под этим заголовком введите сумму" sqref="C4:D4" xr:uid="{00000000-0002-0000-0000-000002000000}"/>
    <dataValidation allowBlank="1" showInputMessage="1" showErrorMessage="1" prompt="В этой ячейке находится круговая диаграмма активов, показывающая деление активов" sqref="F5" xr:uid="{00000000-0002-0000-0000-000003000000}"/>
  </dataValidations>
  <printOptions horizontalCentered="1"/>
  <pageMargins left="0.5" right="0.5" top="0.5" bottom="0.5" header="0.3" footer="0.3"/>
  <pageSetup paperSize="9" scale="92" fitToHeight="0" orientation="landscape" r:id="rId1"/>
  <headerFooter differentFirst="1">
    <oddFooter>Page &amp;P of &amp;N</oddFooter>
  </headerFooter>
  <ignoredErrors>
    <ignoredError sqref="D6:D10 D11:D15" calculatedColumn="1"/>
  </ignoredErrors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045B-0F07-4DF9-9A9D-7CDB05E033BF}">
  <dimension ref="A1:L22"/>
  <sheetViews>
    <sheetView workbookViewId="0">
      <selection activeCell="L3" sqref="L3"/>
    </sheetView>
  </sheetViews>
  <sheetFormatPr defaultRowHeight="15" x14ac:dyDescent="0.25"/>
  <cols>
    <col min="3" max="3" width="27.25" customWidth="1"/>
    <col min="5" max="5" width="12.75" customWidth="1"/>
    <col min="7" max="7" width="9.75" bestFit="1" customWidth="1"/>
    <col min="10" max="10" width="20.5" customWidth="1"/>
    <col min="11" max="11" width="13.25" customWidth="1"/>
    <col min="12" max="12" width="16" customWidth="1"/>
  </cols>
  <sheetData>
    <row r="1" spans="1:12" ht="47.25" x14ac:dyDescent="0.4">
      <c r="A1" s="15">
        <v>0.05</v>
      </c>
      <c r="B1" s="7" t="s">
        <v>23</v>
      </c>
      <c r="C1" t="s">
        <v>24</v>
      </c>
      <c r="E1" s="48">
        <f>E3+E14</f>
        <v>1</v>
      </c>
      <c r="F1" s="5"/>
      <c r="G1" s="49">
        <f>'Части проекта'!D13</f>
        <v>5000000</v>
      </c>
      <c r="H1" s="7" t="s">
        <v>62</v>
      </c>
      <c r="K1" s="7" t="s">
        <v>77</v>
      </c>
      <c r="L1" s="7" t="s">
        <v>78</v>
      </c>
    </row>
    <row r="2" spans="1:12" ht="26.25" x14ac:dyDescent="0.4">
      <c r="A2" s="15"/>
      <c r="B2" s="7"/>
      <c r="E2" s="5"/>
      <c r="F2" s="5"/>
      <c r="G2" s="26"/>
      <c r="J2" t="s">
        <v>76</v>
      </c>
      <c r="K2" s="7">
        <f>'8. Маркет.'!L2</f>
        <v>0.128</v>
      </c>
      <c r="L2" s="7">
        <f>[1]Лист1!$D$12</f>
        <v>0.25600000000000001</v>
      </c>
    </row>
    <row r="3" spans="1:12" s="42" customFormat="1" ht="27" thickBot="1" x14ac:dyDescent="0.45">
      <c r="A3" s="6"/>
      <c r="B3" s="45"/>
      <c r="C3" s="50" t="s">
        <v>60</v>
      </c>
      <c r="E3" s="47">
        <v>0.5</v>
      </c>
      <c r="F3" s="46"/>
      <c r="G3" s="44">
        <f>G1*E3</f>
        <v>2500000</v>
      </c>
    </row>
    <row r="4" spans="1:12" ht="15.75" customHeight="1" thickBot="1" x14ac:dyDescent="0.3">
      <c r="B4" s="9"/>
      <c r="C4" s="165" t="s">
        <v>25</v>
      </c>
      <c r="D4" s="166"/>
      <c r="E4" s="8" t="s">
        <v>26</v>
      </c>
      <c r="F4" s="29"/>
      <c r="G4" s="30" t="s">
        <v>56</v>
      </c>
    </row>
    <row r="5" spans="1:12" ht="29.25" customHeight="1" x14ac:dyDescent="0.25">
      <c r="B5" s="10" t="s">
        <v>11</v>
      </c>
      <c r="C5" s="169" t="s">
        <v>41</v>
      </c>
      <c r="D5" s="169"/>
      <c r="E5" s="38">
        <v>0.05</v>
      </c>
      <c r="F5" s="12"/>
      <c r="G5" s="28">
        <f>G3*E5</f>
        <v>125000</v>
      </c>
    </row>
    <row r="6" spans="1:12" ht="28.5" customHeight="1" x14ac:dyDescent="0.25">
      <c r="B6" s="13" t="s">
        <v>13</v>
      </c>
      <c r="C6" s="163" t="s">
        <v>57</v>
      </c>
      <c r="D6" s="163"/>
      <c r="E6" s="39">
        <v>0.05</v>
      </c>
      <c r="F6" s="14"/>
      <c r="G6" s="35">
        <f>G3*E6</f>
        <v>125000</v>
      </c>
    </row>
    <row r="7" spans="1:12" ht="30.75" customHeight="1" x14ac:dyDescent="0.25">
      <c r="B7" s="10" t="s">
        <v>14</v>
      </c>
      <c r="C7" s="169" t="s">
        <v>40</v>
      </c>
      <c r="D7" s="169"/>
      <c r="E7" s="38">
        <v>0.05</v>
      </c>
      <c r="F7" s="12"/>
      <c r="G7" s="28">
        <f>G3*E7</f>
        <v>125000</v>
      </c>
    </row>
    <row r="8" spans="1:12" ht="29.25" customHeight="1" x14ac:dyDescent="0.25">
      <c r="B8" s="13" t="s">
        <v>16</v>
      </c>
      <c r="C8" s="163" t="s">
        <v>58</v>
      </c>
      <c r="D8" s="163"/>
      <c r="E8" s="39">
        <v>0.25</v>
      </c>
      <c r="F8" s="14"/>
      <c r="G8" s="35">
        <f>G3*E8</f>
        <v>625000</v>
      </c>
    </row>
    <row r="9" spans="1:12" ht="33.75" customHeight="1" x14ac:dyDescent="0.25">
      <c r="B9" s="10" t="s">
        <v>17</v>
      </c>
      <c r="C9" s="169" t="s">
        <v>59</v>
      </c>
      <c r="D9" s="169"/>
      <c r="E9" s="38">
        <v>0.05</v>
      </c>
      <c r="F9" s="12"/>
      <c r="G9" s="28">
        <f>G3*E9</f>
        <v>125000</v>
      </c>
    </row>
    <row r="10" spans="1:12" ht="30.75" customHeight="1" x14ac:dyDescent="0.25">
      <c r="B10" s="13" t="s">
        <v>19</v>
      </c>
      <c r="C10" s="163" t="s">
        <v>42</v>
      </c>
      <c r="D10" s="163"/>
      <c r="E10" s="39">
        <v>0.05</v>
      </c>
      <c r="F10" s="14"/>
      <c r="G10" s="35">
        <f>G3*E10</f>
        <v>125000</v>
      </c>
    </row>
    <row r="11" spans="1:12" ht="29.25" customHeight="1" x14ac:dyDescent="0.25">
      <c r="B11" s="10" t="s">
        <v>21</v>
      </c>
      <c r="C11" s="169" t="s">
        <v>39</v>
      </c>
      <c r="D11" s="169"/>
      <c r="E11" s="38">
        <v>0.15</v>
      </c>
      <c r="F11" s="18"/>
      <c r="G11" s="28">
        <f>G3*E11</f>
        <v>375000</v>
      </c>
    </row>
    <row r="12" spans="1:12" ht="29.25" customHeight="1" x14ac:dyDescent="0.25">
      <c r="B12" s="52" t="s">
        <v>19</v>
      </c>
      <c r="C12" s="163" t="s">
        <v>66</v>
      </c>
      <c r="D12" s="163"/>
      <c r="E12" s="39">
        <f>100%-SUM(E5:E11)</f>
        <v>0.35</v>
      </c>
      <c r="F12" s="14"/>
      <c r="G12" s="35">
        <f>G3*E12</f>
        <v>875000</v>
      </c>
    </row>
    <row r="13" spans="1:12" ht="29.25" customHeight="1" x14ac:dyDescent="0.25">
      <c r="B13" s="16"/>
      <c r="C13" s="16"/>
      <c r="D13" s="16"/>
      <c r="E13" s="38"/>
      <c r="F13" s="18"/>
      <c r="G13" s="28"/>
    </row>
    <row r="14" spans="1:12" s="42" customFormat="1" x14ac:dyDescent="0.25">
      <c r="C14" s="50" t="s">
        <v>61</v>
      </c>
      <c r="E14" s="43">
        <v>0.5</v>
      </c>
      <c r="G14" s="44">
        <f>G1*E14</f>
        <v>2500000</v>
      </c>
    </row>
    <row r="15" spans="1:12" ht="29.25" customHeight="1" x14ac:dyDescent="0.25">
      <c r="B15" s="16" t="s">
        <v>11</v>
      </c>
      <c r="C15" s="169" t="s">
        <v>41</v>
      </c>
      <c r="D15" s="169"/>
      <c r="E15" s="38">
        <v>0.05</v>
      </c>
      <c r="F15" s="12"/>
      <c r="G15" s="28">
        <f>G14*E15</f>
        <v>125000</v>
      </c>
    </row>
    <row r="16" spans="1:12" ht="28.5" customHeight="1" x14ac:dyDescent="0.25">
      <c r="B16" s="17" t="s">
        <v>13</v>
      </c>
      <c r="C16" s="163" t="s">
        <v>57</v>
      </c>
      <c r="D16" s="163"/>
      <c r="E16" s="39">
        <v>0.05</v>
      </c>
      <c r="F16" s="14"/>
      <c r="G16" s="35">
        <f>G14*E16</f>
        <v>125000</v>
      </c>
    </row>
    <row r="17" spans="2:7" ht="30.75" customHeight="1" x14ac:dyDescent="0.25">
      <c r="B17" s="16" t="s">
        <v>14</v>
      </c>
      <c r="C17" s="169" t="s">
        <v>40</v>
      </c>
      <c r="D17" s="169"/>
      <c r="E17" s="38">
        <v>0.05</v>
      </c>
      <c r="F17" s="12"/>
      <c r="G17" s="28">
        <f>G14*E17</f>
        <v>125000</v>
      </c>
    </row>
    <row r="18" spans="2:7" ht="29.25" customHeight="1" x14ac:dyDescent="0.25">
      <c r="B18" s="17" t="s">
        <v>16</v>
      </c>
      <c r="C18" s="163" t="s">
        <v>58</v>
      </c>
      <c r="D18" s="163"/>
      <c r="E18" s="39">
        <v>0.25</v>
      </c>
      <c r="F18" s="14"/>
      <c r="G18" s="35">
        <f>G14*E18</f>
        <v>625000</v>
      </c>
    </row>
    <row r="19" spans="2:7" ht="33.75" customHeight="1" x14ac:dyDescent="0.25">
      <c r="B19" s="16" t="s">
        <v>17</v>
      </c>
      <c r="C19" s="169" t="s">
        <v>59</v>
      </c>
      <c r="D19" s="169"/>
      <c r="E19" s="38">
        <v>0.05</v>
      </c>
      <c r="F19" s="12"/>
      <c r="G19" s="28">
        <f>G14*E19</f>
        <v>125000</v>
      </c>
    </row>
    <row r="20" spans="2:7" ht="30.75" customHeight="1" x14ac:dyDescent="0.25">
      <c r="B20" s="17" t="s">
        <v>19</v>
      </c>
      <c r="C20" s="163" t="s">
        <v>42</v>
      </c>
      <c r="D20" s="163"/>
      <c r="E20" s="39">
        <v>0.05</v>
      </c>
      <c r="F20" s="14"/>
      <c r="G20" s="35">
        <f>G14*E20</f>
        <v>125000</v>
      </c>
    </row>
    <row r="21" spans="2:7" ht="29.25" customHeight="1" x14ac:dyDescent="0.25">
      <c r="B21" s="16" t="s">
        <v>21</v>
      </c>
      <c r="C21" s="169" t="s">
        <v>39</v>
      </c>
      <c r="D21" s="169"/>
      <c r="E21" s="38">
        <v>0.15</v>
      </c>
      <c r="F21" s="18"/>
      <c r="G21" s="28">
        <f>G14*E21</f>
        <v>375000</v>
      </c>
    </row>
    <row r="22" spans="2:7" ht="28.5" customHeight="1" x14ac:dyDescent="0.25">
      <c r="B22" s="52" t="s">
        <v>19</v>
      </c>
      <c r="C22" s="163" t="s">
        <v>42</v>
      </c>
      <c r="D22" s="163"/>
      <c r="E22" s="39">
        <f>100%-SUM(E15:E21)</f>
        <v>0.35</v>
      </c>
      <c r="F22" s="14"/>
      <c r="G22" s="35">
        <f>G14*E22</f>
        <v>875000</v>
      </c>
    </row>
  </sheetData>
  <mergeCells count="17">
    <mergeCell ref="C19:D19"/>
    <mergeCell ref="C12:D12"/>
    <mergeCell ref="C22:D22"/>
    <mergeCell ref="C10:D10"/>
    <mergeCell ref="C11:D11"/>
    <mergeCell ref="C4:D4"/>
    <mergeCell ref="C5:D5"/>
    <mergeCell ref="C6:D6"/>
    <mergeCell ref="C7:D7"/>
    <mergeCell ref="C8:D8"/>
    <mergeCell ref="C9:D9"/>
    <mergeCell ref="C20:D20"/>
    <mergeCell ref="C21:D21"/>
    <mergeCell ref="C15:D15"/>
    <mergeCell ref="C16:D16"/>
    <mergeCell ref="C17:D17"/>
    <mergeCell ref="C18:D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0277-CA2D-4EE9-B442-6943891C076F}">
  <dimension ref="A1:P13"/>
  <sheetViews>
    <sheetView workbookViewId="0">
      <selection activeCell="F9" sqref="F9"/>
    </sheetView>
  </sheetViews>
  <sheetFormatPr defaultRowHeight="15" x14ac:dyDescent="0.25"/>
  <cols>
    <col min="3" max="3" width="27.25" customWidth="1"/>
    <col min="5" max="5" width="12.375" customWidth="1"/>
    <col min="7" max="7" width="9.75" bestFit="1" customWidth="1"/>
    <col min="14" max="14" width="20" customWidth="1"/>
    <col min="15" max="15" width="13.625" customWidth="1"/>
    <col min="16" max="16" width="17.375" customWidth="1"/>
  </cols>
  <sheetData>
    <row r="1" spans="1:16" ht="47.25" x14ac:dyDescent="0.4">
      <c r="A1" s="15">
        <v>0.08</v>
      </c>
      <c r="B1" s="7" t="s">
        <v>23</v>
      </c>
      <c r="C1" t="s">
        <v>24</v>
      </c>
      <c r="E1" s="5">
        <f>SUM(E4:E13)</f>
        <v>1</v>
      </c>
      <c r="F1" s="5"/>
      <c r="G1" s="49">
        <f>'Части проекта'!D14</f>
        <v>8000000</v>
      </c>
      <c r="H1" s="7" t="s">
        <v>62</v>
      </c>
      <c r="I1" s="7"/>
      <c r="J1" s="7"/>
      <c r="K1" s="7"/>
      <c r="L1" s="7"/>
      <c r="O1" s="7" t="s">
        <v>77</v>
      </c>
      <c r="P1" s="7" t="s">
        <v>78</v>
      </c>
    </row>
    <row r="2" spans="1:16" ht="27" thickBot="1" x14ac:dyDescent="0.45">
      <c r="A2" s="6"/>
      <c r="B2" s="7"/>
      <c r="E2" s="5"/>
      <c r="F2" s="5"/>
      <c r="N2" t="s">
        <v>76</v>
      </c>
      <c r="O2" s="7">
        <f>'9. Моб.в.'!L2</f>
        <v>0.25600000000000001</v>
      </c>
      <c r="P2" s="7">
        <f>[1]Лист1!$D$13</f>
        <v>0.51200000000000001</v>
      </c>
    </row>
    <row r="3" spans="1:16" ht="15.75" customHeight="1" thickBot="1" x14ac:dyDescent="0.3">
      <c r="B3" s="9"/>
      <c r="C3" s="165" t="s">
        <v>25</v>
      </c>
      <c r="D3" s="166"/>
      <c r="E3" s="8" t="s">
        <v>26</v>
      </c>
      <c r="F3" s="29"/>
      <c r="G3" s="30" t="s">
        <v>56</v>
      </c>
    </row>
    <row r="4" spans="1:16" ht="30" customHeight="1" x14ac:dyDescent="0.25">
      <c r="B4" s="10" t="s">
        <v>11</v>
      </c>
      <c r="C4" s="162" t="s">
        <v>57</v>
      </c>
      <c r="D4" s="162"/>
      <c r="E4" s="38">
        <v>0.05</v>
      </c>
      <c r="F4" s="12"/>
      <c r="G4" s="28">
        <f>G1*E4</f>
        <v>400000</v>
      </c>
    </row>
    <row r="5" spans="1:16" ht="29.25" customHeight="1" x14ac:dyDescent="0.25">
      <c r="B5" s="13" t="s">
        <v>13</v>
      </c>
      <c r="C5" s="69" t="s">
        <v>41</v>
      </c>
      <c r="D5" s="36"/>
      <c r="E5" s="39">
        <v>0.05</v>
      </c>
      <c r="F5" s="14"/>
      <c r="G5" s="35">
        <f>G1*E5</f>
        <v>400000</v>
      </c>
    </row>
    <row r="6" spans="1:16" ht="30.75" customHeight="1" x14ac:dyDescent="0.25">
      <c r="B6" s="10" t="s">
        <v>14</v>
      </c>
      <c r="C6" s="169" t="s">
        <v>40</v>
      </c>
      <c r="D6" s="169"/>
      <c r="E6" s="38">
        <v>0.05</v>
      </c>
      <c r="F6" s="12"/>
      <c r="G6" s="28">
        <f>G1*E6</f>
        <v>400000</v>
      </c>
    </row>
    <row r="7" spans="1:16" ht="30.75" customHeight="1" x14ac:dyDescent="0.25">
      <c r="B7" s="160" t="s">
        <v>141</v>
      </c>
      <c r="C7" s="19" t="s">
        <v>190</v>
      </c>
      <c r="D7" s="19"/>
      <c r="E7" s="159"/>
      <c r="F7" s="32">
        <v>100000</v>
      </c>
      <c r="G7" s="32"/>
    </row>
    <row r="8" spans="1:16" ht="30.75" customHeight="1" x14ac:dyDescent="0.25">
      <c r="B8" s="100" t="s">
        <v>142</v>
      </c>
      <c r="C8" s="144" t="s">
        <v>189</v>
      </c>
      <c r="D8" s="144"/>
      <c r="E8" s="38"/>
      <c r="F8" s="28">
        <v>300000</v>
      </c>
      <c r="G8" s="28"/>
    </row>
    <row r="9" spans="1:16" ht="29.25" customHeight="1" x14ac:dyDescent="0.25">
      <c r="B9" s="13" t="s">
        <v>16</v>
      </c>
      <c r="C9" s="163" t="s">
        <v>58</v>
      </c>
      <c r="D9" s="163"/>
      <c r="E9" s="39">
        <v>0.25</v>
      </c>
      <c r="F9" s="14"/>
      <c r="G9" s="35">
        <f>G1*E9</f>
        <v>2000000</v>
      </c>
      <c r="M9" s="70"/>
    </row>
    <row r="10" spans="1:16" ht="29.25" customHeight="1" x14ac:dyDescent="0.25">
      <c r="B10" s="10" t="s">
        <v>17</v>
      </c>
      <c r="C10" s="169" t="s">
        <v>59</v>
      </c>
      <c r="D10" s="169"/>
      <c r="E10" s="38">
        <v>0.02</v>
      </c>
      <c r="F10" s="12"/>
      <c r="G10" s="28">
        <f>G1*E10</f>
        <v>160000</v>
      </c>
    </row>
    <row r="11" spans="1:16" ht="28.5" customHeight="1" x14ac:dyDescent="0.25">
      <c r="B11" s="13" t="s">
        <v>19</v>
      </c>
      <c r="C11" s="163" t="s">
        <v>42</v>
      </c>
      <c r="D11" s="163"/>
      <c r="E11" s="39">
        <v>0.08</v>
      </c>
      <c r="F11" s="14"/>
      <c r="G11" s="35">
        <f>G1*E11</f>
        <v>640000</v>
      </c>
    </row>
    <row r="12" spans="1:16" ht="28.5" customHeight="1" x14ac:dyDescent="0.25">
      <c r="B12" s="10" t="s">
        <v>21</v>
      </c>
      <c r="C12" s="169" t="s">
        <v>39</v>
      </c>
      <c r="D12" s="169"/>
      <c r="E12" s="38">
        <v>0.15</v>
      </c>
      <c r="F12" s="18"/>
      <c r="G12" s="28">
        <f>G1*E12</f>
        <v>1200000</v>
      </c>
    </row>
    <row r="13" spans="1:16" ht="24.75" customHeight="1" x14ac:dyDescent="0.25">
      <c r="B13" s="52" t="s">
        <v>31</v>
      </c>
      <c r="C13" s="163" t="s">
        <v>66</v>
      </c>
      <c r="D13" s="163"/>
      <c r="E13" s="39">
        <f>100%-SUM(E4:E12)</f>
        <v>0.35</v>
      </c>
      <c r="F13" s="14"/>
      <c r="G13" s="35">
        <f>G1*E13</f>
        <v>2800000</v>
      </c>
    </row>
  </sheetData>
  <mergeCells count="8">
    <mergeCell ref="C13:D13"/>
    <mergeCell ref="C11:D11"/>
    <mergeCell ref="C12:D12"/>
    <mergeCell ref="C3:D3"/>
    <mergeCell ref="C4:D4"/>
    <mergeCell ref="C6:D6"/>
    <mergeCell ref="C9:D9"/>
    <mergeCell ref="C10:D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D82E-7A8D-4204-BE48-9FBAC6401F76}">
  <dimension ref="A1:L15"/>
  <sheetViews>
    <sheetView workbookViewId="0">
      <selection activeCell="F7" sqref="F7"/>
    </sheetView>
  </sheetViews>
  <sheetFormatPr defaultRowHeight="15" x14ac:dyDescent="0.25"/>
  <cols>
    <col min="3" max="3" width="27.25" customWidth="1"/>
    <col min="5" max="5" width="13.25" customWidth="1"/>
    <col min="6" max="6" width="15.75" customWidth="1"/>
    <col min="7" max="7" width="12.125" customWidth="1"/>
    <col min="10" max="10" width="20.25" customWidth="1"/>
    <col min="11" max="11" width="14" customWidth="1"/>
    <col min="12" max="12" width="15.125" customWidth="1"/>
  </cols>
  <sheetData>
    <row r="1" spans="1:12" ht="47.25" x14ac:dyDescent="0.4">
      <c r="A1" s="15">
        <f>'Части проекта'!C15</f>
        <v>0.36</v>
      </c>
      <c r="B1" s="7" t="s">
        <v>23</v>
      </c>
      <c r="C1" t="s">
        <v>24</v>
      </c>
      <c r="E1" s="5">
        <f>SUM(E4:E15)</f>
        <v>1</v>
      </c>
      <c r="F1" s="5"/>
      <c r="G1" s="49">
        <f>'Части проекта'!D15</f>
        <v>36000000</v>
      </c>
      <c r="H1" s="7" t="s">
        <v>62</v>
      </c>
      <c r="K1" s="7" t="s">
        <v>77</v>
      </c>
      <c r="L1" s="7" t="s">
        <v>78</v>
      </c>
    </row>
    <row r="2" spans="1:12" ht="27" thickBot="1" x14ac:dyDescent="0.45">
      <c r="A2" s="6"/>
      <c r="B2" s="7"/>
      <c r="E2" s="5"/>
      <c r="F2" s="5"/>
      <c r="J2" t="s">
        <v>76</v>
      </c>
      <c r="K2" s="7">
        <f>'10. РС в.'!P2</f>
        <v>0.51200000000000001</v>
      </c>
      <c r="L2" s="7">
        <f>[1]Лист1!$D$14</f>
        <v>1.024</v>
      </c>
    </row>
    <row r="3" spans="1:12" ht="15.75" customHeight="1" thickBot="1" x14ac:dyDescent="0.3">
      <c r="B3" s="9"/>
      <c r="C3" s="165" t="s">
        <v>25</v>
      </c>
      <c r="D3" s="166"/>
      <c r="E3" s="8" t="s">
        <v>26</v>
      </c>
      <c r="F3" s="29"/>
      <c r="G3" s="30" t="s">
        <v>56</v>
      </c>
    </row>
    <row r="4" spans="1:12" ht="27" customHeight="1" x14ac:dyDescent="0.25">
      <c r="B4" s="10" t="s">
        <v>11</v>
      </c>
      <c r="C4" s="169" t="s">
        <v>130</v>
      </c>
      <c r="D4" s="169"/>
      <c r="E4" s="38">
        <v>0.02</v>
      </c>
      <c r="F4" s="101"/>
      <c r="G4" s="28">
        <f>G1*E4</f>
        <v>720000</v>
      </c>
    </row>
    <row r="5" spans="1:12" ht="36" customHeight="1" x14ac:dyDescent="0.25">
      <c r="B5" s="139" t="s">
        <v>108</v>
      </c>
      <c r="C5" s="122" t="s">
        <v>110</v>
      </c>
      <c r="D5" s="122"/>
      <c r="E5" s="130"/>
      <c r="F5" s="141">
        <v>100000</v>
      </c>
      <c r="G5" s="127"/>
    </row>
    <row r="6" spans="1:12" ht="54" customHeight="1" x14ac:dyDescent="0.25">
      <c r="B6" s="139" t="s">
        <v>109</v>
      </c>
      <c r="C6" s="122" t="s">
        <v>111</v>
      </c>
      <c r="D6" s="122"/>
      <c r="E6" s="130"/>
      <c r="F6" s="141">
        <v>100000</v>
      </c>
      <c r="G6" s="127"/>
    </row>
    <row r="7" spans="1:12" ht="54" customHeight="1" x14ac:dyDescent="0.25">
      <c r="B7" s="139" t="s">
        <v>112</v>
      </c>
      <c r="C7" s="123" t="s">
        <v>131</v>
      </c>
      <c r="D7" s="123"/>
      <c r="E7" s="130"/>
      <c r="F7" s="141">
        <v>100000</v>
      </c>
      <c r="G7" s="127"/>
    </row>
    <row r="8" spans="1:12" ht="54" customHeight="1" x14ac:dyDescent="0.25">
      <c r="B8" s="100" t="s">
        <v>113</v>
      </c>
      <c r="C8" s="75" t="s">
        <v>42</v>
      </c>
      <c r="D8" s="75"/>
      <c r="E8" s="38"/>
      <c r="F8" s="101">
        <v>200000</v>
      </c>
      <c r="G8" s="28"/>
    </row>
    <row r="9" spans="1:12" ht="24" customHeight="1" x14ac:dyDescent="0.25">
      <c r="B9" s="13" t="s">
        <v>13</v>
      </c>
      <c r="C9" s="163" t="s">
        <v>132</v>
      </c>
      <c r="D9" s="163"/>
      <c r="E9" s="39">
        <v>0.05</v>
      </c>
      <c r="F9" s="102"/>
      <c r="G9" s="35">
        <f>G1*E9</f>
        <v>1800000</v>
      </c>
    </row>
    <row r="10" spans="1:12" ht="25.5" customHeight="1" x14ac:dyDescent="0.25">
      <c r="B10" s="10" t="s">
        <v>14</v>
      </c>
      <c r="C10" s="169" t="s">
        <v>133</v>
      </c>
      <c r="D10" s="169"/>
      <c r="E10" s="38">
        <v>0.05</v>
      </c>
      <c r="F10" s="101"/>
      <c r="G10" s="28">
        <f>G1*E10</f>
        <v>1800000</v>
      </c>
    </row>
    <row r="11" spans="1:12" ht="28.5" customHeight="1" x14ac:dyDescent="0.25">
      <c r="B11" s="13" t="s">
        <v>16</v>
      </c>
      <c r="C11" s="163" t="s">
        <v>134</v>
      </c>
      <c r="D11" s="163"/>
      <c r="E11" s="39">
        <v>0.2</v>
      </c>
      <c r="F11" s="102"/>
      <c r="G11" s="35">
        <f>G1*E11</f>
        <v>7200000</v>
      </c>
    </row>
    <row r="12" spans="1:12" ht="34.5" customHeight="1" x14ac:dyDescent="0.25">
      <c r="B12" s="10" t="s">
        <v>17</v>
      </c>
      <c r="C12" s="169" t="s">
        <v>135</v>
      </c>
      <c r="D12" s="169"/>
      <c r="E12" s="38">
        <v>0.05</v>
      </c>
      <c r="F12" s="101"/>
      <c r="G12" s="28">
        <f>G1*E12</f>
        <v>1800000</v>
      </c>
    </row>
    <row r="13" spans="1:12" ht="27.75" customHeight="1" x14ac:dyDescent="0.25">
      <c r="B13" s="13" t="s">
        <v>19</v>
      </c>
      <c r="C13" s="163" t="s">
        <v>136</v>
      </c>
      <c r="D13" s="163"/>
      <c r="E13" s="39">
        <v>0.05</v>
      </c>
      <c r="F13" s="102"/>
      <c r="G13" s="35">
        <f>G1*E13</f>
        <v>1800000</v>
      </c>
    </row>
    <row r="14" spans="1:12" ht="27" customHeight="1" x14ac:dyDescent="0.25">
      <c r="B14" s="10" t="s">
        <v>21</v>
      </c>
      <c r="C14" s="169" t="s">
        <v>22</v>
      </c>
      <c r="D14" s="169"/>
      <c r="E14" s="38">
        <v>0.15</v>
      </c>
      <c r="F14" s="103"/>
      <c r="G14" s="28">
        <f>G1*E14</f>
        <v>5400000</v>
      </c>
    </row>
    <row r="15" spans="1:12" ht="29.25" customHeight="1" x14ac:dyDescent="0.25">
      <c r="B15" s="52" t="s">
        <v>31</v>
      </c>
      <c r="C15" s="163" t="s">
        <v>66</v>
      </c>
      <c r="D15" s="163"/>
      <c r="E15" s="39">
        <f>100%-SUM(E4:E14)</f>
        <v>0.43000000000000005</v>
      </c>
      <c r="F15" s="102"/>
      <c r="G15" s="35">
        <f>G1*E15</f>
        <v>15480000.000000002</v>
      </c>
    </row>
  </sheetData>
  <mergeCells count="9">
    <mergeCell ref="C15:D15"/>
    <mergeCell ref="C13:D13"/>
    <mergeCell ref="C14:D14"/>
    <mergeCell ref="C3:D3"/>
    <mergeCell ref="C4:D4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8FAF-070C-4E26-A11D-91A1A365EDB8}">
  <dimension ref="B3:M53"/>
  <sheetViews>
    <sheetView topLeftCell="A7" workbookViewId="0">
      <selection activeCell="K31" sqref="K31"/>
    </sheetView>
  </sheetViews>
  <sheetFormatPr defaultRowHeight="15" x14ac:dyDescent="0.25"/>
  <cols>
    <col min="4" max="4" width="28.875" customWidth="1"/>
    <col min="5" max="5" width="34" customWidth="1"/>
    <col min="6" max="6" width="10" customWidth="1"/>
    <col min="7" max="8" width="10.875" customWidth="1"/>
    <col min="10" max="10" width="18.125" customWidth="1"/>
    <col min="11" max="11" width="12.875" customWidth="1"/>
  </cols>
  <sheetData>
    <row r="3" spans="2:11" s="7" customFormat="1" ht="30" x14ac:dyDescent="0.25">
      <c r="B3" s="108" t="s">
        <v>83</v>
      </c>
      <c r="C3" s="108" t="s">
        <v>84</v>
      </c>
      <c r="D3" s="108" t="s">
        <v>79</v>
      </c>
      <c r="E3" s="108" t="s">
        <v>85</v>
      </c>
      <c r="F3" s="108" t="s">
        <v>86</v>
      </c>
      <c r="G3" s="108" t="s">
        <v>87</v>
      </c>
      <c r="H3" s="109"/>
      <c r="J3" s="7" t="s">
        <v>145</v>
      </c>
    </row>
    <row r="4" spans="2:11" x14ac:dyDescent="0.25">
      <c r="B4" s="7">
        <v>1</v>
      </c>
      <c r="C4" s="7">
        <v>2018</v>
      </c>
      <c r="D4" s="7" t="str">
        <f>'Части проекта'!B5</f>
        <v>Идея</v>
      </c>
      <c r="E4" s="7" t="str">
        <f>'1.Идея'!C5</f>
        <v>Общее описание</v>
      </c>
      <c r="F4" s="27">
        <f>'1.Идея'!J5</f>
        <v>250000</v>
      </c>
      <c r="G4" s="7" t="s">
        <v>88</v>
      </c>
      <c r="H4" s="7"/>
      <c r="I4">
        <f>'Части проекта'!A5</f>
        <v>1</v>
      </c>
      <c r="J4" t="str">
        <f>'Части проекта'!B5</f>
        <v>Идея</v>
      </c>
      <c r="K4" s="26">
        <f>SUM(F4:F11)</f>
        <v>2700000</v>
      </c>
    </row>
    <row r="5" spans="2:11" x14ac:dyDescent="0.25">
      <c r="B5" s="7">
        <v>2</v>
      </c>
      <c r="C5" s="7">
        <v>2018</v>
      </c>
      <c r="D5" s="7" t="str">
        <f>'Части проекта'!B5</f>
        <v>Идея</v>
      </c>
      <c r="E5" s="7" t="str">
        <f>'1.Идея'!C6</f>
        <v>Решаемая проблема</v>
      </c>
      <c r="F5" s="27">
        <f>'1.Идея'!G6</f>
        <v>250000</v>
      </c>
      <c r="G5" s="7" t="s">
        <v>88</v>
      </c>
      <c r="H5" s="7"/>
      <c r="I5">
        <f>'Части проекта'!A6</f>
        <v>2</v>
      </c>
      <c r="J5" t="str">
        <f>'Части проекта'!B6</f>
        <v>Концепция</v>
      </c>
      <c r="K5" s="26">
        <f>SUM(F12:F17)+F26</f>
        <v>2060000</v>
      </c>
    </row>
    <row r="6" spans="2:11" x14ac:dyDescent="0.25">
      <c r="B6" s="7">
        <v>3</v>
      </c>
      <c r="C6" s="7">
        <v>2018</v>
      </c>
      <c r="D6" s="7" t="str">
        <f>'Части проекта'!B5</f>
        <v>Идея</v>
      </c>
      <c r="E6" s="7" t="str">
        <f>'1.Идея'!C7</f>
        <v>Бизнес-модель и перспективы</v>
      </c>
      <c r="F6" s="27">
        <f>'1.Идея'!G7</f>
        <v>250000</v>
      </c>
      <c r="G6" s="7" t="s">
        <v>88</v>
      </c>
      <c r="H6" s="7"/>
      <c r="I6">
        <f>'Части проекта'!A7</f>
        <v>3</v>
      </c>
      <c r="J6" t="str">
        <f>'Части проекта'!B7</f>
        <v>Сайт</v>
      </c>
      <c r="K6" s="26">
        <f>F23+F28</f>
        <v>300000</v>
      </c>
    </row>
    <row r="7" spans="2:11" ht="30" x14ac:dyDescent="0.25">
      <c r="B7" s="7">
        <v>4</v>
      </c>
      <c r="C7" s="7">
        <v>2018</v>
      </c>
      <c r="D7" s="7" t="str">
        <f>'Части проекта'!B5</f>
        <v>Идея</v>
      </c>
      <c r="E7" s="7" t="str">
        <f>'1.Идея'!C8</f>
        <v>Целевая аудитория</v>
      </c>
      <c r="F7" s="27">
        <f>'1.Идея'!G8</f>
        <v>250000</v>
      </c>
      <c r="G7" s="7" t="s">
        <v>88</v>
      </c>
      <c r="H7" s="7"/>
      <c r="I7">
        <f>'Части проекта'!A8</f>
        <v>4</v>
      </c>
      <c r="J7" t="str">
        <f>'Части проекта'!B8</f>
        <v>Документация (whitepaper)</v>
      </c>
      <c r="K7" s="26">
        <f>F22+F24+F27+F33</f>
        <v>375000</v>
      </c>
    </row>
    <row r="8" spans="2:11" x14ac:dyDescent="0.25">
      <c r="B8" s="7">
        <v>5</v>
      </c>
      <c r="C8" s="7">
        <v>2018</v>
      </c>
      <c r="D8" s="7" t="str">
        <f>'Части проекта'!B5</f>
        <v>Идея</v>
      </c>
      <c r="E8" s="7" t="str">
        <f>'1.Идея'!C9</f>
        <v>Аналогичные проекты</v>
      </c>
      <c r="F8" s="27">
        <f>'1.Идея'!G9</f>
        <v>100000</v>
      </c>
      <c r="G8" s="7" t="s">
        <v>88</v>
      </c>
      <c r="H8" s="7"/>
      <c r="I8">
        <f>'Части проекта'!A9</f>
        <v>5</v>
      </c>
      <c r="J8" t="str">
        <f>'Части проекта'!B9</f>
        <v>Демо</v>
      </c>
      <c r="K8" s="26">
        <f>F21</f>
        <v>150000</v>
      </c>
    </row>
    <row r="9" spans="2:11" x14ac:dyDescent="0.25">
      <c r="B9" s="7">
        <v>6</v>
      </c>
      <c r="C9" s="7">
        <v>2018</v>
      </c>
      <c r="D9" s="7" t="str">
        <f>'Части проекта'!B5</f>
        <v>Идея</v>
      </c>
      <c r="E9" s="7" t="str">
        <f>'1.Идея'!C10</f>
        <v>Необходимые условия</v>
      </c>
      <c r="F9" s="27">
        <f>'1.Идея'!G10</f>
        <v>100000</v>
      </c>
      <c r="G9" s="7" t="s">
        <v>88</v>
      </c>
      <c r="H9" s="7"/>
      <c r="I9">
        <f>'Части проекта'!A10</f>
        <v>6</v>
      </c>
      <c r="J9" t="str">
        <f>'Части проекта'!B10</f>
        <v>Сообщество</v>
      </c>
      <c r="K9" s="26">
        <f>F32</f>
        <v>175000</v>
      </c>
    </row>
    <row r="10" spans="2:11" x14ac:dyDescent="0.25">
      <c r="B10" s="7">
        <v>7</v>
      </c>
      <c r="C10" s="7">
        <v>2018</v>
      </c>
      <c r="D10" s="7" t="str">
        <f>'Части проекта'!B5</f>
        <v>Идея</v>
      </c>
      <c r="E10" s="7" t="str">
        <f>'1.Идея'!C11</f>
        <v>Эскизы бренда</v>
      </c>
      <c r="F10" s="27">
        <f>'1.Идея'!G11</f>
        <v>1000000</v>
      </c>
      <c r="G10" s="7" t="s">
        <v>88</v>
      </c>
      <c r="H10" s="7"/>
      <c r="I10">
        <f>'Части проекта'!A11</f>
        <v>7</v>
      </c>
      <c r="J10" t="str">
        <f>'Части проекта'!B11</f>
        <v>Прототип(MVP)</v>
      </c>
      <c r="K10" s="26">
        <f>F18+F19+F20</f>
        <v>1300000</v>
      </c>
    </row>
    <row r="11" spans="2:11" x14ac:dyDescent="0.25">
      <c r="B11" s="7">
        <v>8</v>
      </c>
      <c r="C11" s="7">
        <v>2018</v>
      </c>
      <c r="D11" s="7" t="str">
        <f>'Части проекта'!B5</f>
        <v>Идея</v>
      </c>
      <c r="E11" s="7" t="str">
        <f>'1.Идея'!C12</f>
        <v>Оформление</v>
      </c>
      <c r="F11" s="27">
        <f>'1.Идея'!G12</f>
        <v>500000</v>
      </c>
      <c r="G11" s="7" t="s">
        <v>88</v>
      </c>
      <c r="H11" s="7"/>
      <c r="I11">
        <f>'Части проекта'!A12</f>
        <v>8</v>
      </c>
      <c r="J11" t="str">
        <f>'Части проекта'!B12</f>
        <v>Маркетинг</v>
      </c>
      <c r="K11" s="26"/>
    </row>
    <row r="12" spans="2:11" ht="30" x14ac:dyDescent="0.25">
      <c r="B12" s="7">
        <v>9</v>
      </c>
      <c r="C12" s="7">
        <v>2018</v>
      </c>
      <c r="D12" s="7" t="str">
        <f>'Части проекта'!B6</f>
        <v>Концепция</v>
      </c>
      <c r="E12" s="7" t="str">
        <f>'2.Конц.'!C4</f>
        <v>Цели проекта</v>
      </c>
      <c r="F12" s="27">
        <f>'2.Конц.'!G4</f>
        <v>140000.00000000003</v>
      </c>
      <c r="G12" s="7" t="s">
        <v>88</v>
      </c>
      <c r="H12" s="7"/>
      <c r="I12">
        <f>'Части проекта'!A13</f>
        <v>9</v>
      </c>
      <c r="J12" t="str">
        <f>'Части проекта'!B13</f>
        <v>Мобильная версия (iOS+Andr.)</v>
      </c>
      <c r="K12" s="26"/>
    </row>
    <row r="13" spans="2:11" ht="30" x14ac:dyDescent="0.25">
      <c r="B13" s="7">
        <v>10</v>
      </c>
      <c r="C13" s="7">
        <v>2018</v>
      </c>
      <c r="D13" s="7" t="str">
        <f>'Части проекта'!B6</f>
        <v>Концепция</v>
      </c>
      <c r="E13" s="7" t="str">
        <f>'2.Конц.'!C5</f>
        <v>Источники дохода и расходы</v>
      </c>
      <c r="F13" s="27">
        <f>'2.Конц.'!G5</f>
        <v>70000.000000000015</v>
      </c>
      <c r="G13" s="7" t="s">
        <v>88</v>
      </c>
      <c r="H13" s="7"/>
      <c r="I13">
        <f>'Части проекта'!A14</f>
        <v>10</v>
      </c>
      <c r="J13" t="str">
        <f>'Части проекта'!B14</f>
        <v>Рабочая версия (РС)</v>
      </c>
      <c r="K13" s="26"/>
    </row>
    <row r="14" spans="2:11" ht="30" x14ac:dyDescent="0.25">
      <c r="B14" s="7">
        <v>11</v>
      </c>
      <c r="C14" s="7">
        <v>2018</v>
      </c>
      <c r="D14" s="7" t="str">
        <f>'Части проекта'!B6</f>
        <v>Концепция</v>
      </c>
      <c r="E14" s="7" t="str">
        <f>'2.Конц.'!C6</f>
        <v>Риски</v>
      </c>
      <c r="F14" s="27">
        <f>'2.Конц.'!G6</f>
        <v>70000.000000000015</v>
      </c>
      <c r="G14" s="7" t="s">
        <v>88</v>
      </c>
      <c r="H14" s="7"/>
      <c r="I14">
        <f>'Части проекта'!A15</f>
        <v>11</v>
      </c>
      <c r="J14" t="str">
        <f>D25</f>
        <v>Особая часть проекта</v>
      </c>
      <c r="K14" s="142">
        <f>F25+F30+F31</f>
        <v>300000</v>
      </c>
    </row>
    <row r="15" spans="2:11" x14ac:dyDescent="0.25">
      <c r="B15" s="7">
        <v>12</v>
      </c>
      <c r="C15" s="7">
        <v>2018</v>
      </c>
      <c r="D15" s="7" t="str">
        <f>'Части проекта'!B6</f>
        <v>Концепция</v>
      </c>
      <c r="E15" s="7" t="str">
        <f>'2.Конц.'!C7</f>
        <v>Этапы и составные части</v>
      </c>
      <c r="F15" s="27">
        <f>'2.Конц.'!G7</f>
        <v>70000.000000000015</v>
      </c>
      <c r="G15" s="7" t="s">
        <v>88</v>
      </c>
      <c r="H15" s="7"/>
    </row>
    <row r="16" spans="2:11" x14ac:dyDescent="0.25">
      <c r="B16" s="7">
        <v>13</v>
      </c>
      <c r="C16" s="7">
        <v>2018</v>
      </c>
      <c r="D16" s="7" t="str">
        <f>'Части проекта'!B6</f>
        <v>Концепция</v>
      </c>
      <c r="E16" s="7" t="str">
        <f>'2.Конц.'!C8</f>
        <v>Порядок реализации</v>
      </c>
      <c r="F16" s="27">
        <f>'2.Конц.'!G8</f>
        <v>140000.00000000003</v>
      </c>
      <c r="G16" s="7" t="s">
        <v>88</v>
      </c>
      <c r="H16" s="7"/>
    </row>
    <row r="17" spans="2:13" x14ac:dyDescent="0.25">
      <c r="B17" s="7">
        <v>14</v>
      </c>
      <c r="C17" s="7">
        <v>2018</v>
      </c>
      <c r="D17" s="7" t="str">
        <f>'Части проекта'!B6</f>
        <v>Концепция</v>
      </c>
      <c r="E17" s="7" t="str">
        <f>'2.Конц.'!C10</f>
        <v>Мотивация</v>
      </c>
      <c r="F17" s="27">
        <f>'2.Конц.'!G10</f>
        <v>70000.000000000015</v>
      </c>
      <c r="G17" s="7" t="s">
        <v>88</v>
      </c>
      <c r="H17" s="7"/>
    </row>
    <row r="18" spans="2:13" x14ac:dyDescent="0.25">
      <c r="B18" s="7">
        <v>15</v>
      </c>
      <c r="C18" s="7">
        <v>2018</v>
      </c>
      <c r="D18" s="7" t="str">
        <f>'Части проекта'!B11</f>
        <v>Прототип(MVP)</v>
      </c>
      <c r="E18" s="7" t="str">
        <f>'7.Прото.'!C5</f>
        <v>Проект прототипа</v>
      </c>
      <c r="F18" s="27">
        <f>'7.Прото.'!G5</f>
        <v>700000.00000000012</v>
      </c>
      <c r="G18" s="7" t="s">
        <v>88</v>
      </c>
      <c r="H18" s="7"/>
    </row>
    <row r="19" spans="2:13" x14ac:dyDescent="0.25">
      <c r="B19" s="7">
        <v>16</v>
      </c>
      <c r="C19" s="7">
        <v>2018</v>
      </c>
      <c r="D19" s="7" t="str">
        <f>'Части проекта'!B11</f>
        <v>Прототип(MVP)</v>
      </c>
      <c r="E19" s="27" t="str">
        <f>'7.Прото.'!C7</f>
        <v>Регистрация</v>
      </c>
      <c r="F19" s="27">
        <f>'7.Прото.'!F7</f>
        <v>100000</v>
      </c>
      <c r="G19" s="7" t="s">
        <v>88</v>
      </c>
      <c r="H19" s="7"/>
    </row>
    <row r="20" spans="2:13" x14ac:dyDescent="0.25">
      <c r="B20" s="7">
        <v>17</v>
      </c>
      <c r="C20" s="7">
        <v>2019</v>
      </c>
      <c r="D20" s="7" t="str">
        <f>'Части проекта'!B11</f>
        <v>Прототип(MVP)</v>
      </c>
      <c r="E20" s="7" t="str">
        <f>'7.Прото.'!C8</f>
        <v>Интерфейс участника</v>
      </c>
      <c r="F20" s="27">
        <f>'7.Прото.'!F8</f>
        <v>500000</v>
      </c>
      <c r="G20" s="7" t="s">
        <v>88</v>
      </c>
      <c r="H20" s="7"/>
    </row>
    <row r="21" spans="2:13" x14ac:dyDescent="0.25">
      <c r="B21" s="7">
        <v>18</v>
      </c>
      <c r="C21" s="7">
        <v>2019</v>
      </c>
      <c r="D21" s="7" t="str">
        <f>'Части проекта'!B9</f>
        <v>Демо</v>
      </c>
      <c r="E21" s="7" t="str">
        <f>'5.Демо'!C4</f>
        <v>Дизайн</v>
      </c>
      <c r="F21" s="27">
        <f>'5.Демо'!G4</f>
        <v>150000</v>
      </c>
      <c r="G21" s="7" t="s">
        <v>88</v>
      </c>
      <c r="H21" s="7"/>
    </row>
    <row r="22" spans="2:13" x14ac:dyDescent="0.25">
      <c r="B22" s="7">
        <v>19</v>
      </c>
      <c r="C22" s="7">
        <v>2019</v>
      </c>
      <c r="D22" s="7" t="str">
        <f>'Части проекта'!B8</f>
        <v>Документация (whitepaper)</v>
      </c>
      <c r="E22" s="7" t="str">
        <f>'4.Док.'!C4</f>
        <v>Основные понятия</v>
      </c>
      <c r="F22" s="27">
        <f>'4.Док.'!G4</f>
        <v>100000</v>
      </c>
      <c r="G22" s="7" t="s">
        <v>88</v>
      </c>
      <c r="H22" s="7"/>
    </row>
    <row r="23" spans="2:13" x14ac:dyDescent="0.25">
      <c r="B23" s="7">
        <v>20</v>
      </c>
      <c r="C23" s="7">
        <v>2019</v>
      </c>
      <c r="D23" s="7" t="str">
        <f>'Части проекта'!B7</f>
        <v>Сайт</v>
      </c>
      <c r="E23" s="7" t="str">
        <f>'3.Сайт'!C4</f>
        <v>Дизайн</v>
      </c>
      <c r="F23" s="27">
        <f>'3.Сайт'!G4</f>
        <v>150000</v>
      </c>
      <c r="G23" s="7" t="s">
        <v>88</v>
      </c>
      <c r="H23" s="7"/>
    </row>
    <row r="24" spans="2:13" x14ac:dyDescent="0.25">
      <c r="B24" s="7">
        <v>21</v>
      </c>
      <c r="C24" s="7">
        <v>2019</v>
      </c>
      <c r="D24" s="7" t="str">
        <f>'Части проекта'!B8</f>
        <v>Документация (whitepaper)</v>
      </c>
      <c r="E24" s="7" t="str">
        <f>'4.Док.'!C5</f>
        <v>Идея, краткая концепция</v>
      </c>
      <c r="F24" s="27">
        <f>'4.Док.'!G5</f>
        <v>150000</v>
      </c>
      <c r="G24" s="7" t="s">
        <v>88</v>
      </c>
      <c r="H24" s="7"/>
    </row>
    <row r="25" spans="2:13" ht="30" x14ac:dyDescent="0.25">
      <c r="B25" s="7">
        <v>22</v>
      </c>
      <c r="C25" s="7">
        <v>2019</v>
      </c>
      <c r="D25" s="7" t="str">
        <f>'Части проекта'!B15</f>
        <v>Особая часть проекта</v>
      </c>
      <c r="E25" s="7" t="str">
        <f>'11. Ос.ч.'!C5</f>
        <v>Решение, голосование, пруфридинг, инвестиции</v>
      </c>
      <c r="F25" s="7">
        <v>100000</v>
      </c>
      <c r="G25" s="7" t="s">
        <v>88</v>
      </c>
      <c r="H25" s="7"/>
    </row>
    <row r="26" spans="2:13" ht="30" x14ac:dyDescent="0.25">
      <c r="B26" s="7">
        <v>23</v>
      </c>
      <c r="C26" s="7">
        <v>2019</v>
      </c>
      <c r="D26" s="7" t="str">
        <f>'Части проекта'!B6</f>
        <v>Концепция</v>
      </c>
      <c r="E26" s="7" t="str">
        <f>'2.Конц.'!C12</f>
        <v>Сформировать основные задачи разделов</v>
      </c>
      <c r="F26" s="27">
        <f>'2.Конц.'!F12</f>
        <v>1500000</v>
      </c>
      <c r="G26" s="7" t="s">
        <v>88</v>
      </c>
      <c r="H26" s="7"/>
    </row>
    <row r="27" spans="2:13" x14ac:dyDescent="0.25">
      <c r="B27" s="7">
        <v>24</v>
      </c>
      <c r="C27" s="7">
        <v>2019</v>
      </c>
      <c r="D27" s="7" t="str">
        <f>'Части проекта'!B8</f>
        <v>Документация (whitepaper)</v>
      </c>
      <c r="E27" s="7"/>
      <c r="F27" s="27"/>
      <c r="G27" s="7" t="s">
        <v>88</v>
      </c>
      <c r="H27" s="7"/>
    </row>
    <row r="28" spans="2:13" x14ac:dyDescent="0.25">
      <c r="B28" s="7">
        <v>25</v>
      </c>
      <c r="C28" s="7">
        <v>2019</v>
      </c>
      <c r="D28" s="7" t="str">
        <f>'Части проекта'!B7</f>
        <v>Сайт</v>
      </c>
      <c r="E28" s="7" t="str">
        <f>'3.Сайт'!C5</f>
        <v>Контент</v>
      </c>
      <c r="F28" s="27">
        <f>'3.Сайт'!G5</f>
        <v>150000</v>
      </c>
      <c r="G28" s="7" t="s">
        <v>88</v>
      </c>
      <c r="H28" s="7"/>
    </row>
    <row r="29" spans="2:13" x14ac:dyDescent="0.25">
      <c r="B29" s="7">
        <v>26</v>
      </c>
      <c r="C29" s="7">
        <v>2019</v>
      </c>
      <c r="D29" s="7" t="str">
        <f>'Части проекта'!B7</f>
        <v>Сайт</v>
      </c>
      <c r="E29" s="7" t="str">
        <f>'3.Сайт'!C7</f>
        <v>Верстка</v>
      </c>
      <c r="F29" s="27">
        <f>'3.Сайт'!F7</f>
        <v>100000</v>
      </c>
      <c r="G29" s="7" t="s">
        <v>88</v>
      </c>
      <c r="H29" s="7"/>
    </row>
    <row r="30" spans="2:13" ht="30" x14ac:dyDescent="0.25">
      <c r="B30" s="7">
        <v>27</v>
      </c>
      <c r="C30" s="7">
        <v>2019</v>
      </c>
      <c r="D30" s="7" t="str">
        <f>'Части проекта'!B15</f>
        <v>Особая часть проекта</v>
      </c>
      <c r="E30" s="7" t="str">
        <f>'11. Ос.ч.'!C6</f>
        <v>Привелигированные и основные доли: голосования и купля/продажа</v>
      </c>
      <c r="F30" s="28">
        <f>'11. Ос.ч.'!F6</f>
        <v>100000</v>
      </c>
      <c r="G30" s="7" t="s">
        <v>88</v>
      </c>
      <c r="H30" s="7"/>
      <c r="L30" s="7" t="s">
        <v>88</v>
      </c>
      <c r="M30" s="121">
        <v>43629</v>
      </c>
    </row>
    <row r="31" spans="2:13" x14ac:dyDescent="0.25">
      <c r="B31" s="7">
        <v>28</v>
      </c>
      <c r="C31" s="7">
        <v>2019</v>
      </c>
      <c r="D31" s="7" t="str">
        <f>'Части проекта'!B15</f>
        <v>Особая часть проекта</v>
      </c>
      <c r="E31" s="7" t="str">
        <f>'11. Ос.ч.'!C7</f>
        <v>Репутация</v>
      </c>
      <c r="F31" s="28">
        <f>'11. Ос.ч.'!F7</f>
        <v>100000</v>
      </c>
      <c r="G31" s="7" t="s">
        <v>88</v>
      </c>
      <c r="H31" s="7"/>
      <c r="J31" s="42" t="s">
        <v>147</v>
      </c>
      <c r="K31" s="44">
        <f>F40</f>
        <v>7460000</v>
      </c>
    </row>
    <row r="32" spans="2:13" x14ac:dyDescent="0.25">
      <c r="B32" s="7">
        <v>29</v>
      </c>
      <c r="C32" s="7">
        <v>2019</v>
      </c>
      <c r="D32" s="7" t="str">
        <f>'Части проекта'!B10</f>
        <v>Сообщество</v>
      </c>
      <c r="E32" s="7" t="str">
        <f>'6.Сооб.'!C9</f>
        <v>Telegram</v>
      </c>
      <c r="F32" s="28">
        <f>'6.Сооб.'!F9</f>
        <v>175000</v>
      </c>
      <c r="G32" s="7" t="s">
        <v>88</v>
      </c>
      <c r="H32" s="7"/>
    </row>
    <row r="33" spans="2:11" x14ac:dyDescent="0.25">
      <c r="B33" s="7">
        <v>30</v>
      </c>
      <c r="C33" s="7">
        <v>2019</v>
      </c>
      <c r="D33" s="7" t="str">
        <f>'Части проекта'!B8</f>
        <v>Документация (whitepaper)</v>
      </c>
      <c r="E33" s="7" t="str">
        <f>'4.Док.'!C11</f>
        <v>Документация для сайта</v>
      </c>
      <c r="F33" s="28">
        <f>'4.Док.'!H11+'4.Док.'!J11+'4.Док.'!L11</f>
        <v>125000</v>
      </c>
      <c r="G33" s="7" t="s">
        <v>88</v>
      </c>
      <c r="H33" s="7" t="str">
        <f>Участники!C4</f>
        <v>AA</v>
      </c>
    </row>
    <row r="34" spans="2:11" x14ac:dyDescent="0.25">
      <c r="B34" s="7">
        <v>31</v>
      </c>
      <c r="J34" t="s">
        <v>146</v>
      </c>
      <c r="K34" s="26">
        <v>7000000</v>
      </c>
    </row>
    <row r="35" spans="2:11" x14ac:dyDescent="0.25">
      <c r="B35" s="7">
        <v>32</v>
      </c>
    </row>
    <row r="36" spans="2:11" x14ac:dyDescent="0.25">
      <c r="B36" s="7">
        <v>33</v>
      </c>
    </row>
    <row r="37" spans="2:11" x14ac:dyDescent="0.25">
      <c r="B37" s="7">
        <v>34</v>
      </c>
    </row>
    <row r="38" spans="2:11" x14ac:dyDescent="0.25">
      <c r="B38" s="7">
        <v>35</v>
      </c>
    </row>
    <row r="39" spans="2:11" x14ac:dyDescent="0.25">
      <c r="B39" s="7">
        <v>36</v>
      </c>
    </row>
    <row r="40" spans="2:11" x14ac:dyDescent="0.25">
      <c r="B40" s="7">
        <v>37</v>
      </c>
      <c r="E40" s="7" t="s">
        <v>101</v>
      </c>
      <c r="F40" s="26">
        <f>SUM(F4:F39)</f>
        <v>7460000</v>
      </c>
    </row>
    <row r="41" spans="2:11" x14ac:dyDescent="0.25">
      <c r="B41" s="7">
        <v>38</v>
      </c>
    </row>
    <row r="42" spans="2:11" x14ac:dyDescent="0.25">
      <c r="B42" s="7">
        <v>39</v>
      </c>
    </row>
    <row r="43" spans="2:11" x14ac:dyDescent="0.25">
      <c r="B43" s="7">
        <v>40</v>
      </c>
    </row>
    <row r="44" spans="2:11" x14ac:dyDescent="0.25">
      <c r="B44" s="7">
        <v>41</v>
      </c>
    </row>
    <row r="45" spans="2:11" x14ac:dyDescent="0.25">
      <c r="B45" s="7">
        <v>42</v>
      </c>
    </row>
    <row r="46" spans="2:11" x14ac:dyDescent="0.25">
      <c r="B46" s="7">
        <v>43</v>
      </c>
    </row>
    <row r="47" spans="2:11" x14ac:dyDescent="0.25">
      <c r="B47" s="7">
        <v>44</v>
      </c>
    </row>
    <row r="48" spans="2:11" x14ac:dyDescent="0.25">
      <c r="B48" s="7">
        <v>45</v>
      </c>
    </row>
    <row r="49" spans="2:2" x14ac:dyDescent="0.25">
      <c r="B49" s="7">
        <v>46</v>
      </c>
    </row>
    <row r="50" spans="2:2" x14ac:dyDescent="0.25">
      <c r="B50" s="7">
        <v>47</v>
      </c>
    </row>
    <row r="51" spans="2:2" x14ac:dyDescent="0.25">
      <c r="B51" s="7">
        <v>48</v>
      </c>
    </row>
    <row r="52" spans="2:2" x14ac:dyDescent="0.25">
      <c r="B52" s="7">
        <v>49</v>
      </c>
    </row>
    <row r="53" spans="2:2" x14ac:dyDescent="0.25">
      <c r="B53" s="7">
        <v>50</v>
      </c>
    </row>
  </sheetData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D4ED-62CC-4E9A-9247-E8A5AE1035F5}">
  <dimension ref="A3:G18"/>
  <sheetViews>
    <sheetView workbookViewId="0">
      <selection activeCell="E7" sqref="E7"/>
    </sheetView>
  </sheetViews>
  <sheetFormatPr defaultRowHeight="15" x14ac:dyDescent="0.25"/>
  <cols>
    <col min="2" max="2" width="18.625" customWidth="1"/>
    <col min="3" max="3" width="14.25" customWidth="1"/>
    <col min="4" max="4" width="15.75" customWidth="1"/>
    <col min="5" max="5" width="20" customWidth="1"/>
    <col min="6" max="6" width="15.375" customWidth="1"/>
    <col min="7" max="7" width="15.75" customWidth="1"/>
    <col min="8" max="8" width="10.5" customWidth="1"/>
  </cols>
  <sheetData>
    <row r="3" spans="1:7" ht="30" x14ac:dyDescent="0.25">
      <c r="B3" s="110" t="s">
        <v>79</v>
      </c>
      <c r="C3" s="110" t="s">
        <v>0</v>
      </c>
      <c r="D3" s="111" t="s">
        <v>55</v>
      </c>
      <c r="E3" s="33" t="s">
        <v>107</v>
      </c>
      <c r="F3" s="111" t="s">
        <v>115</v>
      </c>
      <c r="G3" s="111" t="s">
        <v>114</v>
      </c>
    </row>
    <row r="4" spans="1:7" x14ac:dyDescent="0.25">
      <c r="A4">
        <v>1</v>
      </c>
      <c r="B4" s="2" t="s">
        <v>1</v>
      </c>
      <c r="C4" s="66">
        <f>'1.Идея'!A1</f>
        <v>0.05</v>
      </c>
      <c r="D4" s="25">
        <f>D18*Активы3[[#This Row],[Доля]]</f>
        <v>5000000</v>
      </c>
      <c r="E4" s="26">
        <f>Выплаты!K4</f>
        <v>2700000</v>
      </c>
      <c r="F4" s="26">
        <f>Активы3[[#This Row],[Число токенов]]-'1.Идея'!G16</f>
        <v>2950000.0000000005</v>
      </c>
      <c r="G4" s="105">
        <f>Активы3[[#This Row],[Выплачено по разделам:]]/Активы3[[#This Row],[Токенов без резерва]]</f>
        <v>0.91525423728813549</v>
      </c>
    </row>
    <row r="5" spans="1:7" x14ac:dyDescent="0.25">
      <c r="A5">
        <v>2</v>
      </c>
      <c r="B5" s="2" t="s">
        <v>2</v>
      </c>
      <c r="C5" s="66">
        <f>'2.Конц.'!A1</f>
        <v>7.0000000000000007E-2</v>
      </c>
      <c r="D5" s="25">
        <f>D18*Активы3[[#This Row],[Доля]]</f>
        <v>7000000.0000000009</v>
      </c>
      <c r="E5" s="26">
        <f>Выплаты!K5</f>
        <v>2060000</v>
      </c>
      <c r="F5" s="26">
        <f>Активы3[[#This Row],[Число токенов]]-'2.Конц.'!G15</f>
        <v>3710000.0000000005</v>
      </c>
      <c r="G5" s="105">
        <f>Активы3[[#This Row],[Выплачено по разделам:]]/Активы3[[#This Row],[Токенов без резерва]]</f>
        <v>0.55525606469002686</v>
      </c>
    </row>
    <row r="6" spans="1:7" x14ac:dyDescent="0.25">
      <c r="A6">
        <v>3</v>
      </c>
      <c r="B6" s="2" t="s">
        <v>4</v>
      </c>
      <c r="C6" s="66">
        <f>'3.Сайт'!A1</f>
        <v>0.01</v>
      </c>
      <c r="D6" s="25">
        <f>D18*Активы3[[#This Row],[Доля]]</f>
        <v>1000000</v>
      </c>
      <c r="E6" s="26">
        <f>Выплаты!K6</f>
        <v>300000</v>
      </c>
      <c r="F6" s="26">
        <f>Активы3[[#This Row],[Число токенов]]-'3.Сайт'!G10</f>
        <v>700000</v>
      </c>
      <c r="G6" s="105">
        <f>Активы3[[#This Row],[Выплачено по разделам:]]/Активы3[[#This Row],[Токенов без резерва]]</f>
        <v>0.42857142857142855</v>
      </c>
    </row>
    <row r="7" spans="1:7" ht="30" x14ac:dyDescent="0.25">
      <c r="A7">
        <v>4</v>
      </c>
      <c r="B7" s="3" t="s">
        <v>5</v>
      </c>
      <c r="C7" s="66">
        <f>'4.Док.'!A1</f>
        <v>0.05</v>
      </c>
      <c r="D7" s="25">
        <f>D18*Активы3[[#This Row],[Доля]]</f>
        <v>5000000</v>
      </c>
      <c r="E7" s="26">
        <f>Выплаты!K7</f>
        <v>375000</v>
      </c>
      <c r="F7" s="26">
        <f>Активы3[[#This Row],[Число токенов]]-'4.Док.'!G15</f>
        <v>3000000</v>
      </c>
      <c r="G7" s="105">
        <f>Активы3[[#This Row],[Выплачено по разделам:]]/Активы3[[#This Row],[Токенов без резерва]]</f>
        <v>0.125</v>
      </c>
    </row>
    <row r="8" spans="1:7" x14ac:dyDescent="0.25">
      <c r="A8">
        <v>5</v>
      </c>
      <c r="B8" s="2" t="s">
        <v>3</v>
      </c>
      <c r="C8" s="66">
        <f>'5.Демо'!A1</f>
        <v>0.01</v>
      </c>
      <c r="D8" s="25">
        <f>D18*Активы3[[#This Row],[Доля]]</f>
        <v>1000000</v>
      </c>
      <c r="E8" s="26">
        <f>Выплаты!K8</f>
        <v>150000</v>
      </c>
      <c r="F8" s="26">
        <f>Активы3[[#This Row],[Число токенов]]-'5.Демо'!G7</f>
        <v>500000</v>
      </c>
      <c r="G8" s="105">
        <f>Активы3[[#This Row],[Выплачено по разделам:]]/Активы3[[#This Row],[Токенов без резерва]]</f>
        <v>0.3</v>
      </c>
    </row>
    <row r="9" spans="1:7" x14ac:dyDescent="0.25">
      <c r="A9">
        <v>6</v>
      </c>
      <c r="B9" s="3" t="s">
        <v>28</v>
      </c>
      <c r="C9" s="66">
        <f>'6.Сооб.'!A1</f>
        <v>0.05</v>
      </c>
      <c r="D9" s="25">
        <f>D18*Активы3[[#This Row],[Доля]]</f>
        <v>5000000</v>
      </c>
      <c r="E9" s="26">
        <f>Выплаты!K9</f>
        <v>175000</v>
      </c>
      <c r="F9" s="26">
        <f>Активы3[[#This Row],[Число токенов]]-'6.Сооб.'!G15</f>
        <v>3000000.0000000005</v>
      </c>
      <c r="G9" s="105">
        <f>Активы3[[#This Row],[Выплачено по разделам:]]/Активы3[[#This Row],[Токенов без резерва]]</f>
        <v>5.8333333333333327E-2</v>
      </c>
    </row>
    <row r="10" spans="1:7" x14ac:dyDescent="0.25">
      <c r="A10">
        <v>7</v>
      </c>
      <c r="B10" s="4" t="s">
        <v>89</v>
      </c>
      <c r="C10" s="66">
        <f>'7.Прото.'!A1</f>
        <v>7.0000000000000007E-2</v>
      </c>
      <c r="D10" s="25">
        <f>D18*Активы3[[#This Row],[Доля]]</f>
        <v>7000000.0000000009</v>
      </c>
      <c r="E10" s="26">
        <f>Выплаты!K10</f>
        <v>1300000</v>
      </c>
      <c r="F10" s="26">
        <f>Активы3[[#This Row],[Число токенов]]-'7.Прото.'!G14</f>
        <v>4900000</v>
      </c>
      <c r="G10" s="105">
        <f>Активы3[[#This Row],[Выплачено по разделам:]]/Активы3[[#This Row],[Токенов без резерва]]</f>
        <v>0.26530612244897961</v>
      </c>
    </row>
    <row r="11" spans="1:7" x14ac:dyDescent="0.25">
      <c r="A11">
        <v>8</v>
      </c>
      <c r="B11" s="3" t="s">
        <v>9</v>
      </c>
      <c r="C11" s="66">
        <f>'8. Маркет.'!A1</f>
        <v>0.2</v>
      </c>
      <c r="D11" s="25">
        <f>D18*Активы3[[#This Row],[Доля]]</f>
        <v>20000000</v>
      </c>
      <c r="E11" s="26">
        <f>Выплаты!K11</f>
        <v>0</v>
      </c>
      <c r="F11" s="26">
        <f>Активы3[[#This Row],[Число токенов]]-'8. Маркет.'!G10</f>
        <v>10000000</v>
      </c>
      <c r="G11" s="105">
        <f>Активы3[[#This Row],[Выплачено по разделам:]]/Активы3[[#This Row],[Токенов без резерва]]</f>
        <v>0</v>
      </c>
    </row>
    <row r="12" spans="1:7" ht="30" x14ac:dyDescent="0.25">
      <c r="A12">
        <v>9</v>
      </c>
      <c r="B12" s="3" t="s">
        <v>8</v>
      </c>
      <c r="C12" s="66">
        <f>'9. Моб.в.'!A1</f>
        <v>0.05</v>
      </c>
      <c r="D12" s="25">
        <f>D18*Активы3[[#This Row],[Доля]]</f>
        <v>5000000</v>
      </c>
      <c r="E12" s="26">
        <f>Выплаты!K12</f>
        <v>0</v>
      </c>
      <c r="F12" s="26">
        <f>Активы3[[#This Row],[Число токенов]]-'9. Моб.в.'!G12*2</f>
        <v>3250000</v>
      </c>
      <c r="G12" s="105">
        <f>Активы3[[#This Row],[Выплачено по разделам:]]/Активы3[[#This Row],[Токенов без резерва]]</f>
        <v>0</v>
      </c>
    </row>
    <row r="13" spans="1:7" x14ac:dyDescent="0.25">
      <c r="A13">
        <v>10</v>
      </c>
      <c r="B13" s="2" t="s">
        <v>7</v>
      </c>
      <c r="C13" s="66">
        <f>'10. РС в.'!A1</f>
        <v>0.08</v>
      </c>
      <c r="D13" s="25">
        <f>D18*Активы3[[#This Row],[Доля]]</f>
        <v>8000000</v>
      </c>
      <c r="E13" s="26">
        <f>Выплаты!K13</f>
        <v>0</v>
      </c>
      <c r="F13" s="26">
        <f>Активы3[[#This Row],[Число токенов]]-'10. РС в.'!G13</f>
        <v>5200000</v>
      </c>
      <c r="G13" s="105">
        <f>Активы3[[#This Row],[Выплачено по разделам:]]/Активы3[[#This Row],[Токенов без резерва]]</f>
        <v>0</v>
      </c>
    </row>
    <row r="14" spans="1:7" ht="30" x14ac:dyDescent="0.25">
      <c r="A14">
        <v>11</v>
      </c>
      <c r="B14" s="3" t="s">
        <v>10</v>
      </c>
      <c r="C14" s="24">
        <f>100%-SUM(C4:C13)</f>
        <v>0.36</v>
      </c>
      <c r="D14" s="25">
        <f>D18*Активы3[[#This Row],[Доля]]</f>
        <v>36000000</v>
      </c>
      <c r="E14" s="26">
        <f>Выплаты!K14</f>
        <v>300000</v>
      </c>
      <c r="F14" s="26">
        <f>Активы3[[#This Row],[Число токенов]]-'11. Ос.ч.'!G15</f>
        <v>20520000</v>
      </c>
      <c r="G14" s="105">
        <f>Активы3[[#This Row],[Выплачено по разделам:]]/Активы3[[#This Row],[Токенов без резерва]]</f>
        <v>1.4619883040935672E-2</v>
      </c>
    </row>
    <row r="15" spans="1:7" x14ac:dyDescent="0.25">
      <c r="D15" s="26"/>
    </row>
    <row r="16" spans="1:7" x14ac:dyDescent="0.25">
      <c r="D16" s="26"/>
    </row>
    <row r="17" spans="2:7" x14ac:dyDescent="0.25">
      <c r="D17" s="26"/>
    </row>
    <row r="18" spans="2:7" ht="15.75" x14ac:dyDescent="0.25">
      <c r="B18" s="63" t="s">
        <v>6</v>
      </c>
      <c r="C18" s="64">
        <f>SUM(C4:C17)</f>
        <v>1</v>
      </c>
      <c r="D18" s="65">
        <v>100000000</v>
      </c>
      <c r="E18" s="104">
        <f>SUM(Активы3[Выплачено по разделам:])</f>
        <v>7360000</v>
      </c>
      <c r="F18" s="26">
        <f>SUM(F4:F14)</f>
        <v>57730000</v>
      </c>
      <c r="G18" s="77">
        <f>SUM(Активы3[% выполнения])/11</f>
        <v>0.24203100630662178</v>
      </c>
    </row>
  </sheetData>
  <dataValidations count="2">
    <dataValidation allowBlank="1" showInputMessage="1" showErrorMessage="1" prompt="В столбце под этим заголовком введите сумму" sqref="C3:D3" xr:uid="{C7D03292-4E61-4D68-8321-165049414469}"/>
    <dataValidation allowBlank="1" showInputMessage="1" showErrorMessage="1" prompt="В столбце под этим заголовком введите тип актива. Для поиска нужных записей используйте фильтры в заголовке" sqref="B3" xr:uid="{134DA6C0-E945-4E2E-BF24-1C0B7766F001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DF52-C966-4673-BAC5-51715BEFCF31}">
  <dimension ref="A2:H28"/>
  <sheetViews>
    <sheetView workbookViewId="0">
      <selection activeCell="H14" sqref="H14"/>
    </sheetView>
  </sheetViews>
  <sheetFormatPr defaultRowHeight="15" x14ac:dyDescent="0.25"/>
  <cols>
    <col min="2" max="2" width="17.625" customWidth="1"/>
    <col min="3" max="3" width="20.75" customWidth="1"/>
    <col min="4" max="4" width="17.625" customWidth="1"/>
    <col min="5" max="5" width="21.25" customWidth="1"/>
    <col min="6" max="6" width="22" customWidth="1"/>
    <col min="7" max="7" width="12.25" customWidth="1"/>
    <col min="8" max="8" width="13.875" customWidth="1"/>
    <col min="9" max="9" width="15" customWidth="1"/>
  </cols>
  <sheetData>
    <row r="2" spans="1:8" ht="42" customHeight="1" x14ac:dyDescent="0.25">
      <c r="B2" s="170" t="s">
        <v>121</v>
      </c>
      <c r="C2" s="167"/>
      <c r="D2" s="167"/>
      <c r="E2" s="167"/>
      <c r="F2" s="167"/>
      <c r="G2" s="167"/>
      <c r="H2" s="167"/>
    </row>
    <row r="3" spans="1:8" ht="45" x14ac:dyDescent="0.25">
      <c r="B3" s="113" t="s">
        <v>120</v>
      </c>
      <c r="C3" s="113" t="s">
        <v>124</v>
      </c>
      <c r="D3" s="113" t="s">
        <v>129</v>
      </c>
      <c r="E3" s="113" t="s">
        <v>125</v>
      </c>
      <c r="F3" s="113" t="s">
        <v>126</v>
      </c>
      <c r="G3" s="113" t="s">
        <v>127</v>
      </c>
      <c r="H3" s="113" t="s">
        <v>128</v>
      </c>
    </row>
    <row r="4" spans="1:8" x14ac:dyDescent="0.25">
      <c r="A4">
        <v>1</v>
      </c>
      <c r="C4" s="33" t="str">
        <f>'Части проекта'!B5</f>
        <v>Идея</v>
      </c>
      <c r="D4" s="112">
        <v>0.05</v>
      </c>
      <c r="E4" s="114">
        <f>[1]Лист1!$D$4</f>
        <v>1E-3</v>
      </c>
      <c r="F4" s="28">
        <f>Активы3[[#This Row],[Токенов без резерва]]</f>
        <v>2950000.0000000005</v>
      </c>
      <c r="G4" s="28">
        <f>E4*F4</f>
        <v>2950.0000000000005</v>
      </c>
    </row>
    <row r="5" spans="1:8" x14ac:dyDescent="0.25">
      <c r="A5">
        <v>2</v>
      </c>
      <c r="C5" s="33" t="str">
        <f>'Части проекта'!B6</f>
        <v>Концепция</v>
      </c>
      <c r="D5" s="112">
        <v>0.1</v>
      </c>
      <c r="E5" s="114">
        <f>[1]Лист1!$D$5</f>
        <v>2E-3</v>
      </c>
      <c r="F5" s="28">
        <f>Прогресс!F4+Активы3[[#This Row],[Токенов без резерва]]</f>
        <v>6660000.0000000009</v>
      </c>
      <c r="G5" s="28">
        <f t="shared" ref="G5:G14" si="0">E5*F5</f>
        <v>13320.000000000002</v>
      </c>
    </row>
    <row r="6" spans="1:8" x14ac:dyDescent="0.25">
      <c r="A6">
        <v>3</v>
      </c>
      <c r="C6" s="33" t="str">
        <f>'Части проекта'!B7</f>
        <v>Сайт</v>
      </c>
      <c r="D6" s="112">
        <v>0.2</v>
      </c>
      <c r="E6" s="114">
        <f>[1]Лист1!$D$6</f>
        <v>4.0000000000000001E-3</v>
      </c>
      <c r="F6" s="28">
        <f>Прогресс!F4+Прогресс!F5+Активы3[[#This Row],[Токенов без резерва]]</f>
        <v>7360000.0000000009</v>
      </c>
      <c r="G6" s="28">
        <f t="shared" si="0"/>
        <v>29440.000000000004</v>
      </c>
    </row>
    <row r="7" spans="1:8" ht="30" x14ac:dyDescent="0.25">
      <c r="A7">
        <v>4</v>
      </c>
      <c r="B7" t="s">
        <v>139</v>
      </c>
      <c r="C7" s="33" t="str">
        <f>'Части проекта'!B8</f>
        <v>Документация (whitepaper)</v>
      </c>
      <c r="D7" s="112">
        <v>0.3</v>
      </c>
      <c r="E7" s="114">
        <f>[1]Лист1!$D$7</f>
        <v>8.0000000000000002E-3</v>
      </c>
      <c r="F7" s="28">
        <f>SUM(Прогресс!F4:F7)</f>
        <v>10360000</v>
      </c>
      <c r="G7" s="28">
        <f t="shared" si="0"/>
        <v>82880</v>
      </c>
    </row>
    <row r="8" spans="1:8" x14ac:dyDescent="0.25">
      <c r="A8">
        <v>5</v>
      </c>
      <c r="B8" t="s">
        <v>140</v>
      </c>
      <c r="C8" s="33" t="str">
        <f>'Части проекта'!B11</f>
        <v>Прототип(MVP)</v>
      </c>
      <c r="D8" s="112">
        <v>0.4</v>
      </c>
      <c r="E8" s="114">
        <f>[1]Лист1!$D$8</f>
        <v>1.6E-2</v>
      </c>
      <c r="F8" s="28">
        <f>SUM(Прогресс!F4:F8)</f>
        <v>10860000</v>
      </c>
      <c r="G8" s="28">
        <f t="shared" si="0"/>
        <v>173760</v>
      </c>
    </row>
    <row r="9" spans="1:8" ht="30" x14ac:dyDescent="0.25">
      <c r="A9">
        <v>6</v>
      </c>
      <c r="B9" t="s">
        <v>122</v>
      </c>
      <c r="C9" s="33" t="str">
        <f>'Части проекта'!B10</f>
        <v>Сообщество</v>
      </c>
      <c r="D9" s="112">
        <v>0.5</v>
      </c>
      <c r="E9" s="114">
        <f>[1]Лист1!$D$9</f>
        <v>3.2000000000000001E-2</v>
      </c>
      <c r="F9" s="28">
        <f>SUM(Прогресс!F4:F9)</f>
        <v>13860000</v>
      </c>
      <c r="G9" s="28">
        <f t="shared" si="0"/>
        <v>443520</v>
      </c>
    </row>
    <row r="10" spans="1:8" x14ac:dyDescent="0.25">
      <c r="A10">
        <v>7</v>
      </c>
      <c r="C10" s="33" t="str">
        <f>Активы[[#This Row],[Раздел]]</f>
        <v>Сообщество</v>
      </c>
      <c r="D10" s="112">
        <v>0.6</v>
      </c>
      <c r="E10" s="114">
        <f>[1]Лист1!$D$10</f>
        <v>6.4000000000000001E-2</v>
      </c>
      <c r="F10" s="28">
        <f>SUM(Прогресс!F4:F10)</f>
        <v>18760000</v>
      </c>
      <c r="G10" s="28">
        <f t="shared" si="0"/>
        <v>1200640</v>
      </c>
    </row>
    <row r="11" spans="1:8" x14ac:dyDescent="0.25">
      <c r="A11">
        <v>8</v>
      </c>
      <c r="C11" s="33" t="str">
        <f>'Части проекта'!B14</f>
        <v>Рабочая версия (РС)</v>
      </c>
      <c r="D11" s="112">
        <v>0.7</v>
      </c>
      <c r="E11" s="114">
        <f>[1]Лист1!$D$11</f>
        <v>0.128</v>
      </c>
      <c r="F11" s="28">
        <f>SUM(Прогресс!F4:F11)</f>
        <v>28760000</v>
      </c>
      <c r="G11" s="28">
        <f t="shared" si="0"/>
        <v>3681280</v>
      </c>
    </row>
    <row r="12" spans="1:8" ht="30" x14ac:dyDescent="0.25">
      <c r="A12">
        <v>9</v>
      </c>
      <c r="B12" s="33" t="s">
        <v>123</v>
      </c>
      <c r="C12" s="33" t="str">
        <f>'Части проекта'!B13</f>
        <v>Мобильная версия (iOS+Andr.)</v>
      </c>
      <c r="D12" s="112">
        <v>0.8</v>
      </c>
      <c r="E12" s="114">
        <f>[1]Лист1!$D$12</f>
        <v>0.25600000000000001</v>
      </c>
      <c r="F12" s="28">
        <f>SUM(Прогресс!F4:F12)</f>
        <v>32010000</v>
      </c>
      <c r="G12" s="28">
        <f t="shared" si="0"/>
        <v>8194560</v>
      </c>
    </row>
    <row r="13" spans="1:8" x14ac:dyDescent="0.25">
      <c r="A13">
        <v>10</v>
      </c>
      <c r="C13" s="33" t="str">
        <f>'Части проекта'!B9</f>
        <v>Демо</v>
      </c>
      <c r="D13" s="112">
        <v>0.9</v>
      </c>
      <c r="E13" s="114">
        <f>[1]Лист1!$D$13</f>
        <v>0.51200000000000001</v>
      </c>
      <c r="F13" s="28">
        <f>SUM(Прогресс!F4:F13)</f>
        <v>37210000</v>
      </c>
      <c r="G13" s="28">
        <f t="shared" si="0"/>
        <v>19051520</v>
      </c>
    </row>
    <row r="14" spans="1:8" x14ac:dyDescent="0.25">
      <c r="A14">
        <v>11</v>
      </c>
      <c r="C14" s="33" t="str">
        <f>'Части проекта'!B15</f>
        <v>Особая часть проекта</v>
      </c>
      <c r="D14" s="112">
        <v>1</v>
      </c>
      <c r="E14" s="115">
        <f>[1]Лист1!$D$14</f>
        <v>1.024</v>
      </c>
      <c r="F14" s="28">
        <f>SUM(Прогресс!F4:F14)</f>
        <v>57730000</v>
      </c>
      <c r="G14" s="28">
        <f t="shared" si="0"/>
        <v>59115520</v>
      </c>
      <c r="H14" s="49">
        <f>E14*'Части проекта'!D19</f>
        <v>102400000</v>
      </c>
    </row>
    <row r="15" spans="1:8" x14ac:dyDescent="0.25">
      <c r="C15" s="33"/>
      <c r="D15" s="112"/>
      <c r="E15" s="33"/>
      <c r="F15" s="33"/>
    </row>
    <row r="16" spans="1:8" x14ac:dyDescent="0.25">
      <c r="C16" s="33"/>
      <c r="D16" s="112"/>
      <c r="E16" s="33"/>
      <c r="F16" s="33"/>
    </row>
    <row r="17" spans="3:6" x14ac:dyDescent="0.25">
      <c r="C17" s="33"/>
      <c r="D17" s="112"/>
      <c r="E17" s="33"/>
      <c r="F17" s="33"/>
    </row>
    <row r="18" spans="3:6" x14ac:dyDescent="0.25">
      <c r="C18" s="33"/>
      <c r="D18" s="112"/>
      <c r="E18" s="33"/>
      <c r="F18" s="33"/>
    </row>
    <row r="19" spans="3:6" x14ac:dyDescent="0.25">
      <c r="C19" s="33"/>
      <c r="D19" s="112"/>
      <c r="E19" s="33"/>
      <c r="F19" s="33"/>
    </row>
    <row r="20" spans="3:6" x14ac:dyDescent="0.25">
      <c r="C20" s="33"/>
      <c r="D20" s="112"/>
      <c r="E20" s="33"/>
      <c r="F20" s="33"/>
    </row>
    <row r="21" spans="3:6" x14ac:dyDescent="0.25">
      <c r="C21" s="33"/>
      <c r="D21" s="33"/>
      <c r="E21" s="33"/>
      <c r="F21" s="33"/>
    </row>
    <row r="22" spans="3:6" x14ac:dyDescent="0.25">
      <c r="C22" s="33"/>
      <c r="D22" s="33"/>
      <c r="E22" s="33"/>
      <c r="F22" s="33"/>
    </row>
    <row r="23" spans="3:6" x14ac:dyDescent="0.25">
      <c r="C23" s="33"/>
      <c r="D23" s="33"/>
      <c r="E23" s="33"/>
      <c r="F23" s="33"/>
    </row>
    <row r="24" spans="3:6" x14ac:dyDescent="0.25">
      <c r="C24" s="33"/>
      <c r="D24" s="33"/>
      <c r="E24" s="33"/>
      <c r="F24" s="33"/>
    </row>
    <row r="25" spans="3:6" x14ac:dyDescent="0.25">
      <c r="C25" s="33"/>
      <c r="D25" s="33"/>
      <c r="E25" s="33"/>
      <c r="F25" s="33"/>
    </row>
    <row r="26" spans="3:6" x14ac:dyDescent="0.25">
      <c r="C26" s="33"/>
      <c r="D26" s="33"/>
      <c r="E26" s="33"/>
      <c r="F26" s="33"/>
    </row>
    <row r="27" spans="3:6" x14ac:dyDescent="0.25">
      <c r="C27" s="33"/>
      <c r="D27" s="33"/>
      <c r="E27" s="33"/>
      <c r="F27" s="33"/>
    </row>
    <row r="28" spans="3:6" x14ac:dyDescent="0.25">
      <c r="C28" s="33"/>
      <c r="E28" s="33"/>
      <c r="F28" s="33"/>
    </row>
  </sheetData>
  <mergeCells count="1">
    <mergeCell ref="B2:H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580F-D064-4BB8-BF16-820952737CA1}">
  <dimension ref="B2:Q22"/>
  <sheetViews>
    <sheetView tabSelected="1" workbookViewId="0">
      <selection activeCell="J4" sqref="J4"/>
    </sheetView>
  </sheetViews>
  <sheetFormatPr defaultRowHeight="15" x14ac:dyDescent="0.25"/>
  <cols>
    <col min="3" max="3" width="15.5" customWidth="1"/>
    <col min="4" max="5" width="13.125" customWidth="1"/>
    <col min="6" max="6" width="15" customWidth="1"/>
    <col min="7" max="8" width="22.125" customWidth="1"/>
    <col min="9" max="9" width="13.25" customWidth="1"/>
    <col min="10" max="10" width="15.5" customWidth="1"/>
    <col min="11" max="11" width="15.125" customWidth="1"/>
    <col min="14" max="14" width="12.375" customWidth="1"/>
    <col min="15" max="15" width="74.75" customWidth="1"/>
    <col min="16" max="16" width="59.375" customWidth="1"/>
    <col min="17" max="17" width="49.625" customWidth="1"/>
  </cols>
  <sheetData>
    <row r="2" spans="2:17" ht="30" x14ac:dyDescent="0.25">
      <c r="C2" s="148" t="s">
        <v>148</v>
      </c>
      <c r="D2" s="148" t="s">
        <v>149</v>
      </c>
      <c r="E2" s="148" t="s">
        <v>150</v>
      </c>
      <c r="F2" s="148" t="s">
        <v>151</v>
      </c>
      <c r="G2" s="148" t="s">
        <v>155</v>
      </c>
      <c r="H2" s="148" t="s">
        <v>157</v>
      </c>
      <c r="I2" s="148" t="s">
        <v>131</v>
      </c>
      <c r="J2" s="148" t="s">
        <v>156</v>
      </c>
      <c r="K2" s="148" t="s">
        <v>82</v>
      </c>
      <c r="N2" s="150" t="s">
        <v>131</v>
      </c>
    </row>
    <row r="3" spans="2:17" x14ac:dyDescent="0.25">
      <c r="B3" s="146">
        <v>1</v>
      </c>
      <c r="C3" s="146" t="str">
        <f>Выплаты!G4</f>
        <v>А1</v>
      </c>
      <c r="D3" s="147">
        <f>COUNTIF(Выплаты!G4:G100,Участники!C3)</f>
        <v>30</v>
      </c>
      <c r="E3" s="147">
        <v>29</v>
      </c>
      <c r="F3" s="147">
        <v>29</v>
      </c>
      <c r="G3" s="147">
        <v>11</v>
      </c>
      <c r="H3" s="147">
        <v>0</v>
      </c>
      <c r="I3" s="149">
        <f>D3*3+E3*2+F3+G3*10-H3</f>
        <v>287</v>
      </c>
      <c r="J3" s="147">
        <f>Выплаты!K31-J4</f>
        <v>7447500</v>
      </c>
      <c r="K3" s="147">
        <f>Выплаты!K34</f>
        <v>7000000</v>
      </c>
      <c r="N3" s="107" t="s">
        <v>158</v>
      </c>
      <c r="O3" t="str">
        <f>G2</f>
        <v>Администрирование разделов</v>
      </c>
    </row>
    <row r="4" spans="2:17" x14ac:dyDescent="0.25">
      <c r="B4" s="146">
        <v>2</v>
      </c>
      <c r="C4" s="171" t="s">
        <v>191</v>
      </c>
      <c r="D4" s="147"/>
      <c r="E4" s="147">
        <v>1</v>
      </c>
      <c r="F4" s="147"/>
      <c r="G4" s="147"/>
      <c r="H4" s="147"/>
      <c r="I4" s="149">
        <f t="shared" ref="I4:I22" si="0">D4*3+E4*2+F4+G4*10-H4</f>
        <v>2</v>
      </c>
      <c r="J4" s="147">
        <f>'4.Док.'!J11</f>
        <v>12500</v>
      </c>
      <c r="K4" s="147"/>
      <c r="N4" s="107" t="s">
        <v>159</v>
      </c>
      <c r="O4" t="str">
        <f>D2</f>
        <v>Принято заданий</v>
      </c>
    </row>
    <row r="5" spans="2:17" x14ac:dyDescent="0.25">
      <c r="B5" s="146">
        <v>3</v>
      </c>
      <c r="C5" s="171"/>
      <c r="D5" s="147"/>
      <c r="E5" s="147"/>
      <c r="F5" s="147"/>
      <c r="G5" s="147"/>
      <c r="H5" s="147"/>
      <c r="I5" s="149">
        <f t="shared" si="0"/>
        <v>0</v>
      </c>
      <c r="J5" s="147"/>
      <c r="K5" s="147"/>
      <c r="N5" s="107" t="s">
        <v>160</v>
      </c>
      <c r="O5" t="str">
        <f>E2</f>
        <v>Проверено участником</v>
      </c>
    </row>
    <row r="6" spans="2:17" x14ac:dyDescent="0.25">
      <c r="B6" s="146">
        <v>4</v>
      </c>
      <c r="C6" s="171"/>
      <c r="D6" s="147"/>
      <c r="E6" s="147"/>
      <c r="F6" s="147"/>
      <c r="G6" s="147"/>
      <c r="H6" s="147"/>
      <c r="I6" s="149">
        <f t="shared" si="0"/>
        <v>0</v>
      </c>
      <c r="J6" s="147"/>
      <c r="K6" s="147"/>
      <c r="N6" s="107" t="s">
        <v>161</v>
      </c>
      <c r="O6" t="str">
        <f>F2</f>
        <v>За участия в голосованиях</v>
      </c>
    </row>
    <row r="7" spans="2:17" x14ac:dyDescent="0.25">
      <c r="B7" s="146">
        <v>5</v>
      </c>
      <c r="C7" s="171"/>
      <c r="D7" s="147"/>
      <c r="E7" s="147"/>
      <c r="F7" s="147"/>
      <c r="G7" s="147"/>
      <c r="H7" s="147"/>
      <c r="I7" s="149">
        <f t="shared" si="0"/>
        <v>0</v>
      </c>
      <c r="J7" s="147"/>
      <c r="K7" s="147"/>
      <c r="N7" s="107" t="s">
        <v>163</v>
      </c>
      <c r="O7" t="s">
        <v>162</v>
      </c>
    </row>
    <row r="8" spans="2:17" s="119" customFormat="1" ht="60" x14ac:dyDescent="0.25">
      <c r="B8" s="151">
        <v>6</v>
      </c>
      <c r="C8" s="171"/>
      <c r="D8" s="147"/>
      <c r="E8" s="147"/>
      <c r="F8" s="147"/>
      <c r="G8" s="147"/>
      <c r="H8" s="147"/>
      <c r="I8" s="149">
        <f t="shared" si="0"/>
        <v>0</v>
      </c>
      <c r="J8" s="147"/>
      <c r="K8" s="147"/>
      <c r="N8" s="100" t="s">
        <v>164</v>
      </c>
      <c r="O8" s="119" t="s">
        <v>165</v>
      </c>
      <c r="P8" s="152" t="s">
        <v>166</v>
      </c>
      <c r="Q8" s="119" t="s">
        <v>167</v>
      </c>
    </row>
    <row r="9" spans="2:17" x14ac:dyDescent="0.25">
      <c r="B9" s="146">
        <v>7</v>
      </c>
      <c r="C9" s="171"/>
      <c r="D9" s="147"/>
      <c r="E9" s="147"/>
      <c r="F9" s="147"/>
      <c r="G9" s="147"/>
      <c r="H9" s="147"/>
      <c r="I9" s="149">
        <f t="shared" si="0"/>
        <v>0</v>
      </c>
      <c r="J9" s="147"/>
      <c r="K9" s="147"/>
    </row>
    <row r="10" spans="2:17" x14ac:dyDescent="0.25">
      <c r="B10" s="146">
        <v>8</v>
      </c>
      <c r="C10" s="171"/>
      <c r="D10" s="147"/>
      <c r="E10" s="147"/>
      <c r="F10" s="147"/>
      <c r="G10" s="147"/>
      <c r="H10" s="147"/>
      <c r="I10" s="149">
        <f t="shared" si="0"/>
        <v>0</v>
      </c>
      <c r="J10" s="147"/>
      <c r="K10" s="147"/>
    </row>
    <row r="11" spans="2:17" x14ac:dyDescent="0.25">
      <c r="B11" s="146">
        <v>9</v>
      </c>
      <c r="C11" s="171"/>
      <c r="D11" s="147"/>
      <c r="E11" s="147"/>
      <c r="F11" s="147"/>
      <c r="G11" s="147"/>
      <c r="H11" s="147"/>
      <c r="I11" s="149">
        <f t="shared" si="0"/>
        <v>0</v>
      </c>
      <c r="J11" s="147"/>
      <c r="K11" s="147"/>
    </row>
    <row r="12" spans="2:17" x14ac:dyDescent="0.25">
      <c r="B12" s="146">
        <v>10</v>
      </c>
      <c r="C12" s="171"/>
      <c r="D12" s="147"/>
      <c r="E12" s="147"/>
      <c r="F12" s="147"/>
      <c r="G12" s="147"/>
      <c r="H12" s="147"/>
      <c r="I12" s="149">
        <f t="shared" si="0"/>
        <v>0</v>
      </c>
      <c r="J12" s="147"/>
      <c r="K12" s="147"/>
    </row>
    <row r="13" spans="2:17" x14ac:dyDescent="0.25">
      <c r="B13" s="146">
        <v>11</v>
      </c>
      <c r="C13" s="171"/>
      <c r="D13" s="147"/>
      <c r="E13" s="147"/>
      <c r="F13" s="147"/>
      <c r="G13" s="147"/>
      <c r="H13" s="147"/>
      <c r="I13" s="149">
        <f t="shared" si="0"/>
        <v>0</v>
      </c>
      <c r="J13" s="147"/>
      <c r="K13" s="147"/>
    </row>
    <row r="14" spans="2:17" x14ac:dyDescent="0.25">
      <c r="B14" s="146">
        <v>12</v>
      </c>
      <c r="C14" s="171"/>
      <c r="D14" s="147"/>
      <c r="E14" s="147"/>
      <c r="F14" s="147"/>
      <c r="G14" s="147"/>
      <c r="H14" s="147"/>
      <c r="I14" s="149">
        <f t="shared" si="0"/>
        <v>0</v>
      </c>
      <c r="J14" s="147"/>
      <c r="K14" s="147"/>
    </row>
    <row r="15" spans="2:17" x14ac:dyDescent="0.25">
      <c r="B15" s="146">
        <v>13</v>
      </c>
      <c r="C15" s="171"/>
      <c r="D15" s="147"/>
      <c r="E15" s="147"/>
      <c r="F15" s="147"/>
      <c r="G15" s="147"/>
      <c r="H15" s="147"/>
      <c r="I15" s="149">
        <f t="shared" si="0"/>
        <v>0</v>
      </c>
      <c r="J15" s="147"/>
      <c r="K15" s="147"/>
    </row>
    <row r="16" spans="2:17" x14ac:dyDescent="0.25">
      <c r="B16" s="146">
        <v>14</v>
      </c>
      <c r="C16" s="171"/>
      <c r="D16" s="147"/>
      <c r="E16" s="147"/>
      <c r="F16" s="147"/>
      <c r="G16" s="147"/>
      <c r="H16" s="147"/>
      <c r="I16" s="149">
        <f t="shared" si="0"/>
        <v>0</v>
      </c>
      <c r="J16" s="147"/>
      <c r="K16" s="147"/>
    </row>
    <row r="17" spans="2:11" x14ac:dyDescent="0.25">
      <c r="B17" s="146">
        <v>15</v>
      </c>
      <c r="C17" s="171"/>
      <c r="D17" s="147"/>
      <c r="E17" s="147"/>
      <c r="F17" s="147"/>
      <c r="G17" s="147"/>
      <c r="H17" s="147"/>
      <c r="I17" s="149">
        <f t="shared" si="0"/>
        <v>0</v>
      </c>
      <c r="J17" s="147"/>
      <c r="K17" s="147"/>
    </row>
    <row r="18" spans="2:11" x14ac:dyDescent="0.25">
      <c r="B18" s="146">
        <v>16</v>
      </c>
      <c r="C18" s="171"/>
      <c r="D18" s="147"/>
      <c r="E18" s="147"/>
      <c r="F18" s="147"/>
      <c r="G18" s="147"/>
      <c r="H18" s="147"/>
      <c r="I18" s="149">
        <f t="shared" si="0"/>
        <v>0</v>
      </c>
      <c r="J18" s="147"/>
      <c r="K18" s="147"/>
    </row>
    <row r="19" spans="2:11" x14ac:dyDescent="0.25">
      <c r="B19" s="146">
        <v>17</v>
      </c>
      <c r="C19" s="171"/>
      <c r="D19" s="147"/>
      <c r="E19" s="147"/>
      <c r="F19" s="147"/>
      <c r="G19" s="147"/>
      <c r="H19" s="147"/>
      <c r="I19" s="149">
        <f t="shared" si="0"/>
        <v>0</v>
      </c>
      <c r="J19" s="147"/>
      <c r="K19" s="147"/>
    </row>
    <row r="20" spans="2:11" x14ac:dyDescent="0.25">
      <c r="B20" s="146">
        <v>18</v>
      </c>
      <c r="C20" s="171"/>
      <c r="D20" s="147"/>
      <c r="E20" s="147"/>
      <c r="F20" s="147"/>
      <c r="G20" s="147"/>
      <c r="H20" s="147"/>
      <c r="I20" s="149">
        <f t="shared" si="0"/>
        <v>0</v>
      </c>
      <c r="J20" s="147"/>
      <c r="K20" s="147"/>
    </row>
    <row r="21" spans="2:11" x14ac:dyDescent="0.25">
      <c r="B21" s="146">
        <v>19</v>
      </c>
      <c r="C21" s="171"/>
      <c r="D21" s="147"/>
      <c r="E21" s="147"/>
      <c r="F21" s="147"/>
      <c r="G21" s="147"/>
      <c r="H21" s="147"/>
      <c r="I21" s="149">
        <f t="shared" si="0"/>
        <v>0</v>
      </c>
      <c r="J21" s="147"/>
      <c r="K21" s="147"/>
    </row>
    <row r="22" spans="2:11" x14ac:dyDescent="0.25">
      <c r="B22" s="146">
        <v>20</v>
      </c>
      <c r="C22" s="171"/>
      <c r="D22" s="147"/>
      <c r="E22" s="147"/>
      <c r="F22" s="147"/>
      <c r="G22" s="147"/>
      <c r="H22" s="147"/>
      <c r="I22" s="149">
        <f t="shared" si="0"/>
        <v>0</v>
      </c>
      <c r="J22" s="147"/>
      <c r="K22" s="1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1D21-A524-4AB3-BA92-ADF930ACFD0C}">
  <dimension ref="A1:P18"/>
  <sheetViews>
    <sheetView workbookViewId="0">
      <selection activeCell="L13" sqref="L13"/>
    </sheetView>
  </sheetViews>
  <sheetFormatPr defaultRowHeight="15" x14ac:dyDescent="0.25"/>
  <cols>
    <col min="1" max="1" width="9.75" bestFit="1" customWidth="1"/>
    <col min="2" max="2" width="6.875" customWidth="1"/>
    <col min="3" max="3" width="31.25" customWidth="1"/>
    <col min="4" max="4" width="8.25" customWidth="1"/>
    <col min="6" max="6" width="9.25" bestFit="1" customWidth="1"/>
    <col min="7" max="7" width="9.75" bestFit="1" customWidth="1"/>
    <col min="9" max="9" width="11.875" customWidth="1"/>
    <col min="10" max="10" width="20.375" customWidth="1"/>
    <col min="11" max="11" width="14" customWidth="1"/>
    <col min="12" max="12" width="19.875" customWidth="1"/>
    <col min="14" max="14" width="13.5" customWidth="1"/>
    <col min="15" max="15" width="14.5" customWidth="1"/>
    <col min="16" max="16" width="15.75" customWidth="1"/>
  </cols>
  <sheetData>
    <row r="1" spans="1:16" ht="47.25" x14ac:dyDescent="0.4">
      <c r="A1" s="15">
        <v>0.05</v>
      </c>
      <c r="B1" s="7" t="s">
        <v>23</v>
      </c>
      <c r="C1" t="s">
        <v>24</v>
      </c>
      <c r="E1" s="5">
        <f>SUM(E5:E16)</f>
        <v>1</v>
      </c>
      <c r="F1" s="5"/>
      <c r="G1" s="49">
        <f>'Части проекта'!D5</f>
        <v>5000000</v>
      </c>
      <c r="H1" s="7" t="s">
        <v>62</v>
      </c>
      <c r="J1" t="s">
        <v>114</v>
      </c>
      <c r="K1" s="77">
        <f>(J5+J6+J7+J8+J9+J10+J11+J12)/(G1-G16)</f>
        <v>0.91525423728813549</v>
      </c>
      <c r="O1" s="7" t="s">
        <v>77</v>
      </c>
      <c r="P1" s="7" t="s">
        <v>78</v>
      </c>
    </row>
    <row r="2" spans="1:16" ht="32.25" x14ac:dyDescent="0.4">
      <c r="A2" s="6"/>
      <c r="B2" s="7"/>
      <c r="E2" s="5"/>
      <c r="F2" s="5"/>
      <c r="N2" t="s">
        <v>76</v>
      </c>
      <c r="O2" s="7">
        <v>0</v>
      </c>
      <c r="P2" s="7">
        <f>[1]Лист1!$D$4</f>
        <v>1E-3</v>
      </c>
    </row>
    <row r="3" spans="1:16" ht="27" thickBot="1" x14ac:dyDescent="0.45">
      <c r="A3" s="6"/>
      <c r="B3" s="7"/>
      <c r="E3" s="5"/>
      <c r="F3" s="5"/>
      <c r="K3" s="7"/>
      <c r="L3" s="7"/>
    </row>
    <row r="4" spans="1:16" ht="15.75" thickBot="1" x14ac:dyDescent="0.3">
      <c r="B4" s="9"/>
      <c r="C4" s="165" t="s">
        <v>25</v>
      </c>
      <c r="D4" s="166"/>
      <c r="E4" s="8" t="s">
        <v>26</v>
      </c>
      <c r="F4" s="29"/>
      <c r="G4" s="30" t="s">
        <v>56</v>
      </c>
      <c r="I4" s="42" t="s">
        <v>80</v>
      </c>
      <c r="J4" t="s">
        <v>82</v>
      </c>
      <c r="K4" t="s">
        <v>81</v>
      </c>
      <c r="L4" t="s">
        <v>184</v>
      </c>
    </row>
    <row r="5" spans="1:16" ht="22.5" customHeight="1" x14ac:dyDescent="0.25">
      <c r="B5" s="122" t="s">
        <v>11</v>
      </c>
      <c r="C5" s="164" t="s">
        <v>12</v>
      </c>
      <c r="D5" s="164"/>
      <c r="E5" s="12">
        <v>0.05</v>
      </c>
      <c r="F5" s="12"/>
      <c r="G5" s="28">
        <f>G1*E5</f>
        <v>250000</v>
      </c>
      <c r="I5" s="97" t="s">
        <v>102</v>
      </c>
      <c r="J5" s="27">
        <f>IF(I5="да", G5,0)</f>
        <v>250000</v>
      </c>
      <c r="K5" s="26">
        <f>G5-J5</f>
        <v>0</v>
      </c>
      <c r="L5" s="33" t="str">
        <f>Участники!C3</f>
        <v>А1</v>
      </c>
    </row>
    <row r="6" spans="1:16" ht="24.75" customHeight="1" x14ac:dyDescent="0.25">
      <c r="B6" s="122" t="s">
        <v>13</v>
      </c>
      <c r="C6" s="164" t="s">
        <v>18</v>
      </c>
      <c r="D6" s="164"/>
      <c r="E6" s="14">
        <v>0.05</v>
      </c>
      <c r="F6" s="14"/>
      <c r="G6" s="35">
        <f>G1*E6</f>
        <v>250000</v>
      </c>
      <c r="I6" s="97" t="s">
        <v>102</v>
      </c>
      <c r="J6" s="27">
        <f t="shared" ref="J6:J16" si="0">IF(I6="да", G6,0)</f>
        <v>250000</v>
      </c>
      <c r="K6" s="26">
        <f t="shared" ref="K6:K16" si="1">G6-J6</f>
        <v>0</v>
      </c>
      <c r="L6" s="33" t="str">
        <f>Участники!C3</f>
        <v>А1</v>
      </c>
    </row>
    <row r="7" spans="1:16" ht="24" customHeight="1" x14ac:dyDescent="0.25">
      <c r="B7" s="122" t="s">
        <v>14</v>
      </c>
      <c r="C7" s="164" t="s">
        <v>67</v>
      </c>
      <c r="D7" s="164"/>
      <c r="E7" s="12">
        <v>0.05</v>
      </c>
      <c r="F7" s="12"/>
      <c r="G7" s="28">
        <f>G1*E7</f>
        <v>250000</v>
      </c>
      <c r="I7" s="97" t="s">
        <v>102</v>
      </c>
      <c r="J7" s="27">
        <f t="shared" si="0"/>
        <v>250000</v>
      </c>
      <c r="K7" s="26">
        <f t="shared" si="1"/>
        <v>0</v>
      </c>
      <c r="L7" s="33" t="str">
        <f>Участники!C3</f>
        <v>А1</v>
      </c>
    </row>
    <row r="8" spans="1:16" ht="27" customHeight="1" x14ac:dyDescent="0.25">
      <c r="B8" s="122" t="s">
        <v>16</v>
      </c>
      <c r="C8" s="122" t="s">
        <v>30</v>
      </c>
      <c r="D8" s="122"/>
      <c r="E8" s="14">
        <v>0.05</v>
      </c>
      <c r="F8" s="14"/>
      <c r="G8" s="35">
        <f>G1*E8</f>
        <v>250000</v>
      </c>
      <c r="I8" s="97" t="s">
        <v>102</v>
      </c>
      <c r="J8" s="27">
        <f t="shared" si="0"/>
        <v>250000</v>
      </c>
      <c r="K8" s="26">
        <f t="shared" si="1"/>
        <v>0</v>
      </c>
      <c r="L8" s="33" t="str">
        <f>Участники!C3</f>
        <v>А1</v>
      </c>
    </row>
    <row r="9" spans="1:16" ht="30" customHeight="1" x14ac:dyDescent="0.25">
      <c r="B9" s="122" t="s">
        <v>17</v>
      </c>
      <c r="C9" s="164" t="s">
        <v>29</v>
      </c>
      <c r="D9" s="164"/>
      <c r="E9" s="12">
        <v>0.02</v>
      </c>
      <c r="F9" s="12"/>
      <c r="G9" s="28">
        <f>G1*E9</f>
        <v>100000</v>
      </c>
      <c r="I9" s="97" t="s">
        <v>102</v>
      </c>
      <c r="J9" s="27">
        <f t="shared" si="0"/>
        <v>100000</v>
      </c>
      <c r="K9" s="26">
        <f t="shared" si="1"/>
        <v>0</v>
      </c>
      <c r="L9" s="33" t="str">
        <f>Участники!C3</f>
        <v>А1</v>
      </c>
    </row>
    <row r="10" spans="1:16" ht="30" customHeight="1" x14ac:dyDescent="0.25">
      <c r="B10" s="122" t="s">
        <v>19</v>
      </c>
      <c r="C10" s="164" t="s">
        <v>20</v>
      </c>
      <c r="D10" s="164"/>
      <c r="E10" s="14">
        <v>0.02</v>
      </c>
      <c r="F10" s="14"/>
      <c r="G10" s="35">
        <f>G1*E10</f>
        <v>100000</v>
      </c>
      <c r="I10" s="97" t="s">
        <v>102</v>
      </c>
      <c r="J10" s="27">
        <f t="shared" si="0"/>
        <v>100000</v>
      </c>
      <c r="K10" s="26">
        <f t="shared" si="1"/>
        <v>0</v>
      </c>
      <c r="L10" s="33" t="str">
        <f>Участники!C3</f>
        <v>А1</v>
      </c>
    </row>
    <row r="11" spans="1:16" ht="27.75" customHeight="1" x14ac:dyDescent="0.25">
      <c r="B11" s="122" t="s">
        <v>21</v>
      </c>
      <c r="C11" s="164" t="s">
        <v>15</v>
      </c>
      <c r="D11" s="164"/>
      <c r="E11" s="18">
        <v>0.2</v>
      </c>
      <c r="F11" s="18"/>
      <c r="G11" s="28">
        <f>G1*E11</f>
        <v>1000000</v>
      </c>
      <c r="I11" s="97" t="s">
        <v>102</v>
      </c>
      <c r="J11" s="27">
        <f t="shared" si="0"/>
        <v>1000000</v>
      </c>
      <c r="K11" s="26">
        <f t="shared" si="1"/>
        <v>0</v>
      </c>
      <c r="L11" s="33" t="str">
        <f>Участники!C3</f>
        <v>А1</v>
      </c>
    </row>
    <row r="12" spans="1:16" ht="23.25" customHeight="1" x14ac:dyDescent="0.25">
      <c r="B12" s="122" t="s">
        <v>31</v>
      </c>
      <c r="C12" s="164" t="s">
        <v>22</v>
      </c>
      <c r="D12" s="164"/>
      <c r="E12" s="14">
        <v>0.1</v>
      </c>
      <c r="F12" s="14"/>
      <c r="G12" s="35">
        <f>G1*E12</f>
        <v>500000</v>
      </c>
      <c r="I12" s="97" t="s">
        <v>102</v>
      </c>
      <c r="J12" s="27">
        <f t="shared" si="0"/>
        <v>500000</v>
      </c>
      <c r="K12" s="26">
        <f t="shared" si="1"/>
        <v>0</v>
      </c>
      <c r="L12" s="33" t="str">
        <f>Участники!C3</f>
        <v>А1</v>
      </c>
    </row>
    <row r="13" spans="1:16" ht="27.75" customHeight="1" x14ac:dyDescent="0.25">
      <c r="B13" s="22" t="s">
        <v>36</v>
      </c>
      <c r="C13" s="162" t="s">
        <v>63</v>
      </c>
      <c r="D13" s="162"/>
      <c r="E13" s="18">
        <v>0.05</v>
      </c>
      <c r="F13" s="18"/>
      <c r="G13" s="28">
        <f>G1*E13</f>
        <v>250000</v>
      </c>
      <c r="I13" s="96"/>
      <c r="J13" s="27">
        <f t="shared" si="0"/>
        <v>0</v>
      </c>
      <c r="K13" s="26">
        <f t="shared" si="1"/>
        <v>250000</v>
      </c>
    </row>
    <row r="14" spans="1:16" ht="27.75" customHeight="1" x14ac:dyDescent="0.25">
      <c r="B14" s="78" t="s">
        <v>103</v>
      </c>
      <c r="C14" s="74" t="s">
        <v>105</v>
      </c>
      <c r="D14" s="74"/>
      <c r="E14" s="14"/>
      <c r="F14" s="98">
        <v>125000</v>
      </c>
      <c r="G14" s="35"/>
      <c r="I14" s="96"/>
      <c r="J14" s="27"/>
      <c r="K14" s="26"/>
    </row>
    <row r="15" spans="1:16" ht="27.75" customHeight="1" x14ac:dyDescent="0.25">
      <c r="B15" s="79" t="s">
        <v>104</v>
      </c>
      <c r="C15" s="73" t="s">
        <v>106</v>
      </c>
      <c r="D15" s="73"/>
      <c r="E15" s="18"/>
      <c r="F15" s="99">
        <v>125000</v>
      </c>
      <c r="G15" s="28"/>
      <c r="I15" s="96"/>
      <c r="J15" s="27"/>
      <c r="K15" s="26"/>
    </row>
    <row r="16" spans="1:16" ht="23.25" customHeight="1" x14ac:dyDescent="0.25">
      <c r="B16" s="21" t="s">
        <v>65</v>
      </c>
      <c r="C16" s="163" t="s">
        <v>64</v>
      </c>
      <c r="D16" s="163"/>
      <c r="E16" s="14">
        <f>100%-SUM(E5:E13)</f>
        <v>0.40999999999999992</v>
      </c>
      <c r="F16" s="14"/>
      <c r="G16" s="35">
        <f>G1*E16</f>
        <v>2049999.9999999995</v>
      </c>
      <c r="I16" s="5"/>
      <c r="J16" s="27">
        <f t="shared" si="0"/>
        <v>0</v>
      </c>
      <c r="K16" s="26">
        <f t="shared" si="1"/>
        <v>2049999.9999999995</v>
      </c>
    </row>
    <row r="17" spans="5:7" x14ac:dyDescent="0.25">
      <c r="G17" s="54"/>
    </row>
    <row r="18" spans="5:7" x14ac:dyDescent="0.25">
      <c r="E18" s="5"/>
    </row>
  </sheetData>
  <mergeCells count="10">
    <mergeCell ref="C13:D13"/>
    <mergeCell ref="C16:D16"/>
    <mergeCell ref="C12:D12"/>
    <mergeCell ref="C4:D4"/>
    <mergeCell ref="C5:D5"/>
    <mergeCell ref="C6:D6"/>
    <mergeCell ref="C7:D7"/>
    <mergeCell ref="C11:D11"/>
    <mergeCell ref="C9:D9"/>
    <mergeCell ref="C10:D10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2858-72C6-471C-AFB9-BA86E6212E01}">
  <dimension ref="A1:N15"/>
  <sheetViews>
    <sheetView workbookViewId="0">
      <selection activeCell="L9" sqref="L9"/>
    </sheetView>
  </sheetViews>
  <sheetFormatPr defaultRowHeight="15" x14ac:dyDescent="0.25"/>
  <cols>
    <col min="3" max="3" width="24.625" customWidth="1"/>
    <col min="4" max="4" width="15" customWidth="1"/>
    <col min="6" max="6" width="9.75" bestFit="1" customWidth="1"/>
    <col min="7" max="7" width="10.625" customWidth="1"/>
    <col min="8" max="8" width="14.5" customWidth="1"/>
    <col min="9" max="9" width="14.375" customWidth="1"/>
    <col min="10" max="10" width="18.875" customWidth="1"/>
    <col min="11" max="11" width="14.125" customWidth="1"/>
    <col min="12" max="12" width="20.625" customWidth="1"/>
    <col min="13" max="13" width="17" customWidth="1"/>
    <col min="14" max="14" width="15.125" customWidth="1"/>
  </cols>
  <sheetData>
    <row r="1" spans="1:14" ht="48.75" customHeight="1" x14ac:dyDescent="0.4">
      <c r="A1" s="15">
        <v>7.0000000000000007E-2</v>
      </c>
      <c r="B1" s="7" t="s">
        <v>23</v>
      </c>
      <c r="C1" t="s">
        <v>24</v>
      </c>
      <c r="D1" s="5"/>
      <c r="E1" s="5">
        <f>SUM(E4:E15)</f>
        <v>1</v>
      </c>
      <c r="G1" s="49">
        <f>'Части проекта'!D6</f>
        <v>7000000.0000000009</v>
      </c>
      <c r="H1" s="7" t="s">
        <v>62</v>
      </c>
      <c r="I1" s="7"/>
      <c r="J1" s="7"/>
      <c r="M1" s="7" t="s">
        <v>77</v>
      </c>
      <c r="N1" s="7" t="s">
        <v>78</v>
      </c>
    </row>
    <row r="2" spans="1:14" ht="27" thickBot="1" x14ac:dyDescent="0.45">
      <c r="A2" s="15"/>
      <c r="B2" s="7"/>
      <c r="D2" s="5"/>
      <c r="E2" s="5"/>
      <c r="H2" s="167" t="s">
        <v>182</v>
      </c>
      <c r="I2" s="167"/>
      <c r="J2" s="167"/>
      <c r="L2" t="s">
        <v>76</v>
      </c>
      <c r="M2" s="7">
        <f>'1.Идея'!P2</f>
        <v>1E-3</v>
      </c>
      <c r="N2" s="7">
        <f>[1]Лист1!$D$5</f>
        <v>2E-3</v>
      </c>
    </row>
    <row r="3" spans="1:14" ht="17.25" customHeight="1" thickBot="1" x14ac:dyDescent="0.3">
      <c r="B3" s="9"/>
      <c r="C3" s="165" t="s">
        <v>25</v>
      </c>
      <c r="D3" s="166"/>
      <c r="E3" s="8" t="s">
        <v>26</v>
      </c>
      <c r="F3" s="29"/>
      <c r="G3" s="30" t="s">
        <v>56</v>
      </c>
      <c r="H3" s="156" t="s">
        <v>183</v>
      </c>
      <c r="I3" s="155" t="s">
        <v>181</v>
      </c>
      <c r="J3" s="156" t="s">
        <v>180</v>
      </c>
      <c r="K3" s="158" t="s">
        <v>185</v>
      </c>
    </row>
    <row r="4" spans="1:14" ht="36" customHeight="1" x14ac:dyDescent="0.25">
      <c r="B4" s="124" t="s">
        <v>11</v>
      </c>
      <c r="C4" s="122" t="s">
        <v>33</v>
      </c>
      <c r="D4" s="122"/>
      <c r="E4" s="125">
        <v>0.02</v>
      </c>
      <c r="F4" s="126"/>
      <c r="G4" s="127">
        <f>G1*E4</f>
        <v>140000.00000000003</v>
      </c>
      <c r="H4" s="28">
        <f t="shared" ref="H4:H9" si="0">G4*0.8</f>
        <v>112000.00000000003</v>
      </c>
      <c r="I4" s="28">
        <f t="shared" ref="I4:I9" si="1">G4*0.1</f>
        <v>14000.000000000004</v>
      </c>
      <c r="J4" s="28">
        <f t="shared" ref="J4:J9" si="2">G4*0.1</f>
        <v>14000.000000000004</v>
      </c>
      <c r="K4" s="33" t="s">
        <v>88</v>
      </c>
    </row>
    <row r="5" spans="1:14" ht="33" customHeight="1" x14ac:dyDescent="0.25">
      <c r="B5" s="124" t="s">
        <v>13</v>
      </c>
      <c r="C5" s="122" t="s">
        <v>68</v>
      </c>
      <c r="D5" s="122"/>
      <c r="E5" s="125">
        <v>0.01</v>
      </c>
      <c r="F5" s="126"/>
      <c r="G5" s="127">
        <f>G1*E5</f>
        <v>70000.000000000015</v>
      </c>
      <c r="H5" s="28">
        <f t="shared" si="0"/>
        <v>56000.000000000015</v>
      </c>
      <c r="I5" s="28">
        <f t="shared" si="1"/>
        <v>7000.0000000000018</v>
      </c>
      <c r="J5" s="28">
        <f t="shared" si="2"/>
        <v>7000.0000000000018</v>
      </c>
      <c r="K5" s="33" t="s">
        <v>88</v>
      </c>
    </row>
    <row r="6" spans="1:14" ht="33" customHeight="1" x14ac:dyDescent="0.25">
      <c r="B6" s="124" t="s">
        <v>14</v>
      </c>
      <c r="C6" s="122" t="s">
        <v>34</v>
      </c>
      <c r="D6" s="122"/>
      <c r="E6" s="125">
        <v>0.01</v>
      </c>
      <c r="F6" s="126"/>
      <c r="G6" s="127">
        <f>G1*E6</f>
        <v>70000.000000000015</v>
      </c>
      <c r="H6" s="28">
        <f t="shared" si="0"/>
        <v>56000.000000000015</v>
      </c>
      <c r="I6" s="28">
        <f t="shared" si="1"/>
        <v>7000.0000000000018</v>
      </c>
      <c r="J6" s="28">
        <f t="shared" si="2"/>
        <v>7000.0000000000018</v>
      </c>
      <c r="K6" s="33" t="s">
        <v>88</v>
      </c>
    </row>
    <row r="7" spans="1:14" ht="33" customHeight="1" x14ac:dyDescent="0.25">
      <c r="B7" s="124" t="s">
        <v>16</v>
      </c>
      <c r="C7" s="122" t="s">
        <v>35</v>
      </c>
      <c r="D7" s="122"/>
      <c r="E7" s="125">
        <v>0.01</v>
      </c>
      <c r="F7" s="126"/>
      <c r="G7" s="127">
        <f>G1*E7</f>
        <v>70000.000000000015</v>
      </c>
      <c r="H7" s="28">
        <f t="shared" si="0"/>
        <v>56000.000000000015</v>
      </c>
      <c r="I7" s="28">
        <f t="shared" si="1"/>
        <v>7000.0000000000018</v>
      </c>
      <c r="J7" s="28">
        <f t="shared" si="2"/>
        <v>7000.0000000000018</v>
      </c>
      <c r="K7" s="33" t="s">
        <v>88</v>
      </c>
    </row>
    <row r="8" spans="1:14" ht="24" customHeight="1" x14ac:dyDescent="0.25">
      <c r="B8" s="124" t="s">
        <v>17</v>
      </c>
      <c r="C8" s="122" t="s">
        <v>27</v>
      </c>
      <c r="D8" s="122"/>
      <c r="E8" s="125">
        <v>0.02</v>
      </c>
      <c r="F8" s="126"/>
      <c r="G8" s="127">
        <f>G1*E8</f>
        <v>140000.00000000003</v>
      </c>
      <c r="H8" s="28">
        <f t="shared" si="0"/>
        <v>112000.00000000003</v>
      </c>
      <c r="I8" s="28">
        <f t="shared" si="1"/>
        <v>14000.000000000004</v>
      </c>
      <c r="J8" s="28">
        <f t="shared" si="2"/>
        <v>14000.000000000004</v>
      </c>
      <c r="K8" s="33" t="s">
        <v>88</v>
      </c>
    </row>
    <row r="9" spans="1:14" ht="51" customHeight="1" x14ac:dyDescent="0.25">
      <c r="B9" s="33" t="s">
        <v>19</v>
      </c>
      <c r="C9" s="11" t="s">
        <v>69</v>
      </c>
      <c r="D9" s="16"/>
      <c r="E9" s="12">
        <v>0.1</v>
      </c>
      <c r="G9" s="28">
        <f>G1*E9</f>
        <v>700000.00000000012</v>
      </c>
      <c r="H9" s="28">
        <f t="shared" si="0"/>
        <v>560000.00000000012</v>
      </c>
      <c r="I9" s="28">
        <f t="shared" si="1"/>
        <v>70000.000000000015</v>
      </c>
      <c r="J9" s="28">
        <f t="shared" si="2"/>
        <v>70000.000000000015</v>
      </c>
      <c r="K9" s="33"/>
    </row>
    <row r="10" spans="1:14" ht="30" customHeight="1" x14ac:dyDescent="0.25">
      <c r="B10" s="124" t="s">
        <v>21</v>
      </c>
      <c r="C10" s="122" t="s">
        <v>32</v>
      </c>
      <c r="D10" s="122"/>
      <c r="E10" s="125">
        <v>0.01</v>
      </c>
      <c r="F10" s="126"/>
      <c r="G10" s="127">
        <f>G1*E10</f>
        <v>70000.000000000015</v>
      </c>
      <c r="H10" s="28">
        <f>G10*0.8</f>
        <v>56000.000000000015</v>
      </c>
      <c r="I10" s="28">
        <f>G10*0.1</f>
        <v>7000.0000000000018</v>
      </c>
      <c r="J10" s="28">
        <f>G10*0.1</f>
        <v>7000.0000000000018</v>
      </c>
      <c r="K10" s="33" t="s">
        <v>88</v>
      </c>
    </row>
    <row r="11" spans="1:14" ht="30" customHeight="1" x14ac:dyDescent="0.25">
      <c r="B11" s="33" t="s">
        <v>31</v>
      </c>
      <c r="C11" s="11" t="s">
        <v>37</v>
      </c>
      <c r="D11" s="16"/>
      <c r="E11" s="12">
        <v>0.25</v>
      </c>
      <c r="G11" s="28">
        <f>G1*E11</f>
        <v>1750000.0000000002</v>
      </c>
      <c r="H11" s="28"/>
      <c r="I11" s="28"/>
      <c r="J11" s="28"/>
      <c r="K11" s="33"/>
    </row>
    <row r="12" spans="1:14" ht="30" customHeight="1" x14ac:dyDescent="0.25">
      <c r="B12" s="128" t="s">
        <v>116</v>
      </c>
      <c r="C12" s="122" t="s">
        <v>119</v>
      </c>
      <c r="D12" s="122"/>
      <c r="E12" s="125"/>
      <c r="F12" s="127">
        <v>1500000</v>
      </c>
      <c r="G12" s="127"/>
      <c r="H12" s="28">
        <f t="shared" ref="H12:H13" si="3">F12*0.8</f>
        <v>1200000</v>
      </c>
      <c r="I12" s="28">
        <f t="shared" ref="I12:I13" si="4">F12*0.1</f>
        <v>150000</v>
      </c>
      <c r="J12" s="28">
        <f t="shared" ref="J12:J13" si="5">F12*0.1</f>
        <v>150000</v>
      </c>
      <c r="K12" s="33" t="s">
        <v>88</v>
      </c>
    </row>
    <row r="13" spans="1:14" ht="30" customHeight="1" x14ac:dyDescent="0.25">
      <c r="B13" s="107" t="s">
        <v>117</v>
      </c>
      <c r="C13" s="76" t="s">
        <v>118</v>
      </c>
      <c r="D13" s="76"/>
      <c r="E13" s="12"/>
      <c r="F13" s="28">
        <v>250000</v>
      </c>
      <c r="G13" s="28"/>
      <c r="H13" s="28">
        <f t="shared" si="3"/>
        <v>200000</v>
      </c>
      <c r="I13" s="28">
        <f t="shared" si="4"/>
        <v>25000</v>
      </c>
      <c r="J13" s="28">
        <f t="shared" si="5"/>
        <v>25000</v>
      </c>
      <c r="K13" s="33"/>
    </row>
    <row r="14" spans="1:14" ht="33.75" customHeight="1" x14ac:dyDescent="0.25">
      <c r="B14" s="106" t="s">
        <v>36</v>
      </c>
      <c r="C14" s="19" t="s">
        <v>38</v>
      </c>
      <c r="D14" s="19"/>
      <c r="E14" s="20">
        <v>0.1</v>
      </c>
      <c r="F14" s="31"/>
      <c r="G14" s="32">
        <f>G1*E14</f>
        <v>700000.00000000012</v>
      </c>
      <c r="H14" s="28">
        <f>G14*0.8</f>
        <v>560000.00000000012</v>
      </c>
      <c r="I14" s="28">
        <f>G14*0.1</f>
        <v>70000.000000000015</v>
      </c>
      <c r="J14" s="28">
        <f>G14*0.1</f>
        <v>70000.000000000015</v>
      </c>
      <c r="K14" s="33"/>
    </row>
    <row r="15" spans="1:14" ht="29.25" customHeight="1" x14ac:dyDescent="0.25">
      <c r="B15" s="33" t="s">
        <v>65</v>
      </c>
      <c r="C15" s="53" t="s">
        <v>66</v>
      </c>
      <c r="E15" s="12">
        <f>100%-SUM(E4:E14)</f>
        <v>0.47</v>
      </c>
      <c r="G15" s="27">
        <f>G1*E15</f>
        <v>3290000.0000000005</v>
      </c>
      <c r="H15" s="28"/>
      <c r="I15" s="28"/>
      <c r="J15" s="28"/>
    </row>
  </sheetData>
  <mergeCells count="2">
    <mergeCell ref="C3:D3"/>
    <mergeCell ref="H2:J2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5123-0CA2-493F-9574-5D764A23F3C3}">
  <dimension ref="A1:N11"/>
  <sheetViews>
    <sheetView workbookViewId="0">
      <selection activeCell="I1" sqref="I1:I1048576"/>
    </sheetView>
  </sheetViews>
  <sheetFormatPr defaultRowHeight="15" x14ac:dyDescent="0.25"/>
  <cols>
    <col min="3" max="3" width="27.25" customWidth="1"/>
    <col min="5" max="5" width="10" customWidth="1"/>
    <col min="6" max="6" width="13.875" customWidth="1"/>
    <col min="7" max="7" width="12.875" customWidth="1"/>
    <col min="12" max="12" width="20.25" customWidth="1"/>
    <col min="13" max="13" width="15.625" customWidth="1"/>
    <col min="14" max="14" width="16.25" customWidth="1"/>
  </cols>
  <sheetData>
    <row r="1" spans="1:14" ht="47.25" x14ac:dyDescent="0.4">
      <c r="A1" s="15">
        <v>0.01</v>
      </c>
      <c r="B1" s="7" t="s">
        <v>23</v>
      </c>
      <c r="C1" t="s">
        <v>24</v>
      </c>
      <c r="E1" s="5">
        <f>SUM(E4:E9)</f>
        <v>0.7</v>
      </c>
      <c r="G1" s="49">
        <f>'Части проекта'!D7</f>
        <v>1000000</v>
      </c>
      <c r="H1" s="7" t="s">
        <v>62</v>
      </c>
      <c r="I1" s="7"/>
      <c r="J1" s="7"/>
      <c r="M1" s="7" t="s">
        <v>77</v>
      </c>
      <c r="N1" s="7" t="s">
        <v>78</v>
      </c>
    </row>
    <row r="2" spans="1:14" ht="27" thickBot="1" x14ac:dyDescent="0.45">
      <c r="A2" s="6"/>
      <c r="B2" s="7"/>
      <c r="E2" s="5"/>
      <c r="L2" t="s">
        <v>76</v>
      </c>
      <c r="M2" s="7">
        <f>'2.Конц.'!N2</f>
        <v>2E-3</v>
      </c>
      <c r="N2" s="7">
        <f>[1]Лист1!$D$6</f>
        <v>4.0000000000000001E-3</v>
      </c>
    </row>
    <row r="3" spans="1:14" ht="15.75" customHeight="1" thickBot="1" x14ac:dyDescent="0.3">
      <c r="B3" s="62"/>
      <c r="C3" s="165" t="s">
        <v>25</v>
      </c>
      <c r="D3" s="166"/>
      <c r="E3" s="8" t="s">
        <v>26</v>
      </c>
      <c r="F3" s="41"/>
      <c r="G3" s="30" t="s">
        <v>56</v>
      </c>
    </row>
    <row r="4" spans="1:14" ht="23.25" customHeight="1" x14ac:dyDescent="0.25">
      <c r="B4" s="129" t="s">
        <v>11</v>
      </c>
      <c r="C4" s="164" t="s">
        <v>40</v>
      </c>
      <c r="D4" s="164"/>
      <c r="E4" s="130">
        <v>0.15</v>
      </c>
      <c r="F4" s="126"/>
      <c r="G4" s="131">
        <f>G1*E4</f>
        <v>150000</v>
      </c>
    </row>
    <row r="5" spans="1:14" ht="21.75" customHeight="1" x14ac:dyDescent="0.25">
      <c r="B5" s="129" t="s">
        <v>13</v>
      </c>
      <c r="C5" s="164" t="s">
        <v>41</v>
      </c>
      <c r="D5" s="164"/>
      <c r="E5" s="130">
        <v>0.15</v>
      </c>
      <c r="F5" s="126"/>
      <c r="G5" s="132">
        <f>G1*E5</f>
        <v>150000</v>
      </c>
    </row>
    <row r="6" spans="1:14" ht="28.5" customHeight="1" x14ac:dyDescent="0.25">
      <c r="B6" s="60" t="s">
        <v>14</v>
      </c>
      <c r="C6" s="162" t="s">
        <v>42</v>
      </c>
      <c r="D6" s="162"/>
      <c r="E6" s="40">
        <v>0.15</v>
      </c>
      <c r="G6" s="57">
        <f>G1*E6</f>
        <v>150000</v>
      </c>
    </row>
    <row r="7" spans="1:14" ht="28.5" customHeight="1" x14ac:dyDescent="0.25">
      <c r="B7" s="133" t="s">
        <v>141</v>
      </c>
      <c r="C7" s="122" t="s">
        <v>143</v>
      </c>
      <c r="D7" s="122"/>
      <c r="E7" s="130"/>
      <c r="F7" s="127">
        <v>100000</v>
      </c>
      <c r="G7" s="132"/>
    </row>
    <row r="8" spans="1:14" ht="52.5" customHeight="1" x14ac:dyDescent="0.25">
      <c r="B8" s="120" t="s">
        <v>142</v>
      </c>
      <c r="C8" s="116" t="s">
        <v>144</v>
      </c>
      <c r="D8" s="116"/>
      <c r="E8" s="40"/>
      <c r="F8" s="28">
        <v>200000</v>
      </c>
      <c r="G8" s="57"/>
    </row>
    <row r="9" spans="1:14" ht="31.5" customHeight="1" x14ac:dyDescent="0.25">
      <c r="B9" s="59" t="s">
        <v>16</v>
      </c>
      <c r="C9" s="163" t="s">
        <v>39</v>
      </c>
      <c r="D9" s="163"/>
      <c r="E9" s="39">
        <v>0.25</v>
      </c>
      <c r="F9" s="36"/>
      <c r="G9" s="56">
        <f>G1*E9</f>
        <v>250000</v>
      </c>
    </row>
    <row r="10" spans="1:14" s="53" customFormat="1" ht="26.25" customHeight="1" x14ac:dyDescent="0.25">
      <c r="B10" s="61" t="s">
        <v>17</v>
      </c>
      <c r="C10" s="53" t="s">
        <v>66</v>
      </c>
      <c r="E10" s="40">
        <f>100%-SUM(E4:E9)</f>
        <v>0.30000000000000004</v>
      </c>
      <c r="G10" s="58">
        <f>G1*E10</f>
        <v>300000.00000000006</v>
      </c>
      <c r="I10" s="144"/>
      <c r="J10" s="144"/>
    </row>
    <row r="11" spans="1:14" x14ac:dyDescent="0.25">
      <c r="B11" s="55"/>
      <c r="C11" s="55"/>
      <c r="D11" s="55"/>
      <c r="E11" s="55"/>
      <c r="F11" s="55"/>
      <c r="G11" s="55"/>
    </row>
  </sheetData>
  <mergeCells count="5">
    <mergeCell ref="C6:D6"/>
    <mergeCell ref="C9:D9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C1EA-57FC-4CAD-8331-EE62A5F8E775}">
  <dimension ref="A1:Q15"/>
  <sheetViews>
    <sheetView workbookViewId="0">
      <selection activeCell="K1" sqref="K1"/>
    </sheetView>
  </sheetViews>
  <sheetFormatPr defaultRowHeight="15" x14ac:dyDescent="0.25"/>
  <cols>
    <col min="3" max="3" width="27.25" customWidth="1"/>
    <col min="5" max="5" width="10.125" customWidth="1"/>
    <col min="7" max="7" width="12" customWidth="1"/>
    <col min="8" max="8" width="13.25" customWidth="1"/>
    <col min="9" max="9" width="11" customWidth="1"/>
    <col min="10" max="10" width="18" customWidth="1"/>
    <col min="11" max="11" width="13.125" customWidth="1"/>
    <col min="12" max="14" width="18" customWidth="1"/>
    <col min="15" max="15" width="20.75" customWidth="1"/>
    <col min="16" max="16" width="13.75" customWidth="1"/>
    <col min="17" max="17" width="13.125" customWidth="1"/>
  </cols>
  <sheetData>
    <row r="1" spans="1:17" ht="62.25" x14ac:dyDescent="0.4">
      <c r="A1" s="15">
        <v>0.05</v>
      </c>
      <c r="B1" s="7" t="s">
        <v>23</v>
      </c>
      <c r="C1" t="s">
        <v>24</v>
      </c>
      <c r="E1" s="5">
        <f>SUM(E4:E10)</f>
        <v>0.6</v>
      </c>
      <c r="G1" s="49">
        <f>'Части проекта'!D8</f>
        <v>5000000</v>
      </c>
      <c r="H1" s="7" t="s">
        <v>62</v>
      </c>
      <c r="I1" s="7"/>
      <c r="P1" s="7" t="s">
        <v>77</v>
      </c>
      <c r="Q1" s="7" t="s">
        <v>78</v>
      </c>
    </row>
    <row r="2" spans="1:17" ht="27" thickBot="1" x14ac:dyDescent="0.45">
      <c r="A2" s="6"/>
      <c r="B2" s="7"/>
      <c r="E2" s="5"/>
      <c r="H2" s="168" t="s">
        <v>182</v>
      </c>
      <c r="I2" s="168"/>
      <c r="J2" s="168"/>
      <c r="K2" s="168"/>
      <c r="L2" s="168"/>
      <c r="M2" s="45"/>
      <c r="N2" s="145"/>
      <c r="O2" t="s">
        <v>76</v>
      </c>
      <c r="P2" s="7">
        <f>'3.Сайт'!N2</f>
        <v>4.0000000000000001E-3</v>
      </c>
      <c r="Q2" s="7">
        <f>[1]Лист1!$D$7</f>
        <v>8.0000000000000002E-3</v>
      </c>
    </row>
    <row r="3" spans="1:17" ht="15.75" customHeight="1" thickBot="1" x14ac:dyDescent="0.3">
      <c r="B3" s="37"/>
      <c r="C3" s="165" t="s">
        <v>25</v>
      </c>
      <c r="D3" s="166"/>
      <c r="E3" s="8" t="s">
        <v>26</v>
      </c>
      <c r="F3" s="37"/>
      <c r="G3" s="30" t="s">
        <v>56</v>
      </c>
      <c r="H3" s="156" t="s">
        <v>183</v>
      </c>
      <c r="I3" s="155" t="s">
        <v>186</v>
      </c>
      <c r="J3" s="155" t="s">
        <v>181</v>
      </c>
      <c r="K3" s="155" t="s">
        <v>187</v>
      </c>
      <c r="L3" s="156" t="s">
        <v>180</v>
      </c>
      <c r="M3" s="157" t="s">
        <v>188</v>
      </c>
      <c r="N3" s="157"/>
    </row>
    <row r="4" spans="1:17" ht="21" customHeight="1" x14ac:dyDescent="0.25">
      <c r="B4" s="124" t="s">
        <v>11</v>
      </c>
      <c r="C4" s="126" t="s">
        <v>46</v>
      </c>
      <c r="D4" s="126"/>
      <c r="E4" s="130">
        <v>0.02</v>
      </c>
      <c r="F4" s="126"/>
      <c r="G4" s="127">
        <f>G1*E4</f>
        <v>100000</v>
      </c>
      <c r="H4" s="28">
        <f t="shared" ref="H4" si="0">G4*0.8</f>
        <v>80000</v>
      </c>
      <c r="I4" s="28"/>
      <c r="J4" s="28">
        <f t="shared" ref="J4:J10" si="1">H4*0.8</f>
        <v>64000</v>
      </c>
      <c r="K4" s="28"/>
      <c r="L4" s="28">
        <f t="shared" ref="L4:L9" si="2">J4*0.8</f>
        <v>51200</v>
      </c>
      <c r="M4" s="28"/>
      <c r="N4" s="28"/>
    </row>
    <row r="5" spans="1:17" ht="28.5" customHeight="1" x14ac:dyDescent="0.25">
      <c r="B5" s="124" t="s">
        <v>13</v>
      </c>
      <c r="C5" s="164" t="s">
        <v>47</v>
      </c>
      <c r="D5" s="164"/>
      <c r="E5" s="130">
        <v>0.03</v>
      </c>
      <c r="F5" s="126"/>
      <c r="G5" s="127">
        <f>G1*E5</f>
        <v>150000</v>
      </c>
      <c r="H5" s="28">
        <f t="shared" ref="H5" si="3">G5*0.8</f>
        <v>120000</v>
      </c>
      <c r="I5" s="28"/>
      <c r="J5" s="28">
        <f t="shared" si="1"/>
        <v>96000</v>
      </c>
      <c r="K5" s="28"/>
      <c r="L5" s="28">
        <f t="shared" si="2"/>
        <v>76800</v>
      </c>
      <c r="M5" s="28"/>
      <c r="N5" s="28"/>
    </row>
    <row r="6" spans="1:17" ht="31.5" customHeight="1" x14ac:dyDescent="0.25">
      <c r="B6" s="33" t="s">
        <v>14</v>
      </c>
      <c r="C6" s="169" t="s">
        <v>45</v>
      </c>
      <c r="D6" s="169"/>
      <c r="E6" s="38">
        <v>0.2</v>
      </c>
      <c r="G6" s="28">
        <f>G1*E6</f>
        <v>1000000</v>
      </c>
      <c r="H6" s="28">
        <f t="shared" ref="H6" si="4">G6*0.8</f>
        <v>800000</v>
      </c>
      <c r="I6" s="28"/>
      <c r="J6" s="28">
        <f t="shared" si="1"/>
        <v>640000</v>
      </c>
      <c r="K6" s="28"/>
      <c r="L6" s="28">
        <f t="shared" si="2"/>
        <v>512000</v>
      </c>
      <c r="M6" s="28"/>
      <c r="N6" s="28"/>
    </row>
    <row r="7" spans="1:17" ht="26.25" customHeight="1" x14ac:dyDescent="0.25">
      <c r="B7" s="154" t="s">
        <v>16</v>
      </c>
      <c r="C7" s="163" t="s">
        <v>48</v>
      </c>
      <c r="D7" s="163"/>
      <c r="E7" s="39">
        <v>0.1</v>
      </c>
      <c r="F7" s="36"/>
      <c r="G7" s="35">
        <f>G1*E7</f>
        <v>500000</v>
      </c>
      <c r="H7" s="28">
        <f t="shared" ref="H7" si="5">G7*0.8</f>
        <v>400000</v>
      </c>
      <c r="I7" s="28"/>
      <c r="J7" s="28">
        <f t="shared" si="1"/>
        <v>320000</v>
      </c>
      <c r="K7" s="28"/>
      <c r="L7" s="28">
        <f t="shared" si="2"/>
        <v>256000</v>
      </c>
      <c r="M7" s="28"/>
      <c r="N7" s="28"/>
    </row>
    <row r="8" spans="1:17" ht="25.5" customHeight="1" x14ac:dyDescent="0.25">
      <c r="B8" s="33" t="s">
        <v>17</v>
      </c>
      <c r="C8" s="169" t="s">
        <v>49</v>
      </c>
      <c r="D8" s="169"/>
      <c r="E8" s="38">
        <v>0.1</v>
      </c>
      <c r="G8" s="28">
        <f>G1*E8</f>
        <v>500000</v>
      </c>
      <c r="H8" s="28">
        <f t="shared" ref="H8" si="6">G8*0.8</f>
        <v>400000</v>
      </c>
      <c r="I8" s="28"/>
      <c r="J8" s="28">
        <f t="shared" si="1"/>
        <v>320000</v>
      </c>
      <c r="K8" s="28"/>
      <c r="L8" s="28">
        <f t="shared" si="2"/>
        <v>256000</v>
      </c>
      <c r="M8" s="28"/>
      <c r="N8" s="28"/>
    </row>
    <row r="9" spans="1:17" ht="26.25" customHeight="1" x14ac:dyDescent="0.25">
      <c r="B9" s="154" t="s">
        <v>19</v>
      </c>
      <c r="C9" s="163" t="s">
        <v>50</v>
      </c>
      <c r="D9" s="163"/>
      <c r="E9" s="39">
        <v>0.05</v>
      </c>
      <c r="F9" s="36"/>
      <c r="G9" s="35">
        <f>G1*E9</f>
        <v>250000</v>
      </c>
      <c r="H9" s="28">
        <f t="shared" ref="H9" si="7">G9*0.8</f>
        <v>200000</v>
      </c>
      <c r="I9" s="28"/>
      <c r="J9" s="28">
        <f t="shared" si="1"/>
        <v>160000</v>
      </c>
      <c r="K9" s="28"/>
      <c r="L9" s="28">
        <f t="shared" si="2"/>
        <v>128000</v>
      </c>
      <c r="M9" s="28"/>
      <c r="N9" s="28"/>
    </row>
    <row r="10" spans="1:17" ht="29.25" customHeight="1" x14ac:dyDescent="0.25">
      <c r="B10" s="33" t="s">
        <v>21</v>
      </c>
      <c r="C10" s="169" t="s">
        <v>22</v>
      </c>
      <c r="D10" s="169"/>
      <c r="E10" s="38">
        <v>0.1</v>
      </c>
      <c r="G10" s="28">
        <f>G1*E10</f>
        <v>500000</v>
      </c>
      <c r="H10" s="28">
        <f>G10*0.8</f>
        <v>400000</v>
      </c>
      <c r="I10" s="28"/>
      <c r="J10" s="28">
        <f t="shared" si="1"/>
        <v>320000</v>
      </c>
      <c r="K10" s="28"/>
      <c r="L10" s="28">
        <f t="shared" ref="L10" si="8">J10*0.8</f>
        <v>256000</v>
      </c>
      <c r="M10" s="28"/>
      <c r="N10" s="28"/>
    </row>
    <row r="11" spans="1:17" ht="29.25" customHeight="1" x14ac:dyDescent="0.25">
      <c r="B11" s="128" t="s">
        <v>172</v>
      </c>
      <c r="C11" s="143" t="s">
        <v>174</v>
      </c>
      <c r="D11" s="143"/>
      <c r="E11" s="130"/>
      <c r="F11" s="127">
        <v>125000</v>
      </c>
      <c r="G11" s="127"/>
      <c r="H11" s="28">
        <f>F11*0.8</f>
        <v>100000</v>
      </c>
      <c r="I11" s="28"/>
      <c r="J11" s="28">
        <f>F11*0.1</f>
        <v>12500</v>
      </c>
      <c r="K11" s="28"/>
      <c r="L11" s="28">
        <f>F11*0.1</f>
        <v>12500</v>
      </c>
      <c r="M11" s="28"/>
      <c r="N11" s="28"/>
    </row>
    <row r="12" spans="1:17" ht="29.25" customHeight="1" x14ac:dyDescent="0.25">
      <c r="B12" s="107" t="s">
        <v>173</v>
      </c>
      <c r="C12" s="144" t="s">
        <v>175</v>
      </c>
      <c r="D12" s="144"/>
      <c r="E12" s="38"/>
      <c r="F12" s="28">
        <v>300000</v>
      </c>
      <c r="G12" s="28"/>
      <c r="H12" s="28">
        <f t="shared" ref="H12:H14" si="9">F12*0.8</f>
        <v>240000</v>
      </c>
      <c r="I12" s="28"/>
      <c r="J12" s="28">
        <f t="shared" ref="J12:J14" si="10">F12*0.1</f>
        <v>30000</v>
      </c>
      <c r="K12" s="28"/>
      <c r="L12" s="28">
        <f t="shared" ref="L12:L14" si="11">F12*0.1</f>
        <v>30000</v>
      </c>
      <c r="M12" s="28"/>
      <c r="N12" s="28"/>
    </row>
    <row r="13" spans="1:17" ht="29.25" customHeight="1" x14ac:dyDescent="0.25">
      <c r="B13" s="107" t="s">
        <v>176</v>
      </c>
      <c r="C13" s="144" t="s">
        <v>178</v>
      </c>
      <c r="D13" s="144"/>
      <c r="E13" s="38"/>
      <c r="F13" s="28">
        <v>25000</v>
      </c>
      <c r="G13" s="28"/>
      <c r="H13" s="28">
        <f t="shared" si="9"/>
        <v>20000</v>
      </c>
      <c r="I13" s="28"/>
      <c r="J13" s="28">
        <f t="shared" si="10"/>
        <v>2500</v>
      </c>
      <c r="K13" s="28"/>
      <c r="L13" s="28">
        <f t="shared" si="11"/>
        <v>2500</v>
      </c>
      <c r="M13" s="28"/>
      <c r="N13" s="28"/>
    </row>
    <row r="14" spans="1:17" ht="29.25" customHeight="1" x14ac:dyDescent="0.25">
      <c r="B14" s="107" t="s">
        <v>177</v>
      </c>
      <c r="C14" s="144" t="s">
        <v>179</v>
      </c>
      <c r="D14" s="144"/>
      <c r="E14" s="38"/>
      <c r="F14" s="28">
        <v>50000</v>
      </c>
      <c r="G14" s="28"/>
      <c r="H14" s="28">
        <f t="shared" si="9"/>
        <v>40000</v>
      </c>
      <c r="I14" s="28"/>
      <c r="J14" s="28">
        <f t="shared" si="10"/>
        <v>5000</v>
      </c>
      <c r="K14" s="28"/>
      <c r="L14" s="28">
        <f t="shared" si="11"/>
        <v>5000</v>
      </c>
      <c r="M14" s="28"/>
      <c r="N14" s="28"/>
    </row>
    <row r="15" spans="1:17" ht="29.25" customHeight="1" x14ac:dyDescent="0.25">
      <c r="B15" s="154" t="s">
        <v>31</v>
      </c>
      <c r="C15" s="163" t="s">
        <v>66</v>
      </c>
      <c r="D15" s="163"/>
      <c r="E15" s="39">
        <f>100%-SUM(E4:E10)</f>
        <v>0.4</v>
      </c>
      <c r="F15" s="36"/>
      <c r="G15" s="35">
        <f>G1*E15</f>
        <v>2000000</v>
      </c>
      <c r="H15" s="28"/>
      <c r="I15" s="28"/>
      <c r="J15" s="28"/>
      <c r="K15" s="28"/>
      <c r="L15" s="28"/>
      <c r="M15" s="28"/>
      <c r="N15" s="28"/>
    </row>
  </sheetData>
  <mergeCells count="9">
    <mergeCell ref="H2:L2"/>
    <mergeCell ref="C15:D15"/>
    <mergeCell ref="C9:D9"/>
    <mergeCell ref="C10:D10"/>
    <mergeCell ref="C3:D3"/>
    <mergeCell ref="C6:D6"/>
    <mergeCell ref="C5:D5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1D50-16C3-4C1D-BF9E-16C58E50E8BB}">
  <dimension ref="A1:N7"/>
  <sheetViews>
    <sheetView workbookViewId="0">
      <selection activeCell="J11" sqref="J11"/>
    </sheetView>
  </sheetViews>
  <sheetFormatPr defaultRowHeight="15" x14ac:dyDescent="0.25"/>
  <cols>
    <col min="3" max="3" width="27.25" customWidth="1"/>
    <col min="5" max="5" width="9.125" customWidth="1"/>
    <col min="7" max="7" width="12.875" style="33" customWidth="1"/>
    <col min="10" max="11" width="20.875" customWidth="1"/>
    <col min="12" max="12" width="11.5" customWidth="1"/>
    <col min="13" max="13" width="15.375" customWidth="1"/>
  </cols>
  <sheetData>
    <row r="1" spans="1:14" ht="47.25" x14ac:dyDescent="0.4">
      <c r="A1" s="15">
        <v>0.01</v>
      </c>
      <c r="B1" s="7" t="s">
        <v>23</v>
      </c>
      <c r="C1" t="s">
        <v>24</v>
      </c>
      <c r="E1" s="5">
        <f>SUM(E4:E6)</f>
        <v>0.5</v>
      </c>
      <c r="G1" s="51">
        <f>'Части проекта'!D9</f>
        <v>1000000</v>
      </c>
      <c r="H1" s="7" t="s">
        <v>62</v>
      </c>
      <c r="L1" s="7" t="s">
        <v>77</v>
      </c>
      <c r="M1" s="7" t="s">
        <v>78</v>
      </c>
    </row>
    <row r="2" spans="1:14" ht="33" thickBot="1" x14ac:dyDescent="0.45">
      <c r="A2" s="6"/>
      <c r="B2" s="7"/>
      <c r="E2" s="5"/>
      <c r="L2" t="s">
        <v>76</v>
      </c>
      <c r="M2" s="7">
        <f>'4.Док.'!Q2</f>
        <v>8.0000000000000002E-3</v>
      </c>
      <c r="N2" s="7">
        <f>[1]Лист1!$D$8</f>
        <v>1.6E-2</v>
      </c>
    </row>
    <row r="3" spans="1:14" ht="15.75" thickBot="1" x14ac:dyDescent="0.3">
      <c r="B3" s="9"/>
      <c r="C3" s="165" t="s">
        <v>25</v>
      </c>
      <c r="D3" s="166"/>
      <c r="E3" s="8" t="s">
        <v>26</v>
      </c>
      <c r="F3" s="37"/>
      <c r="G3" s="34" t="s">
        <v>56</v>
      </c>
    </row>
    <row r="4" spans="1:14" ht="25.5" customHeight="1" x14ac:dyDescent="0.25">
      <c r="B4" s="122" t="s">
        <v>11</v>
      </c>
      <c r="C4" s="164" t="s">
        <v>40</v>
      </c>
      <c r="D4" s="164"/>
      <c r="E4" s="130">
        <v>0.15</v>
      </c>
      <c r="F4" s="126"/>
      <c r="G4" s="127">
        <f>G1*E4</f>
        <v>150000</v>
      </c>
      <c r="H4" s="28">
        <f>G4*0.8</f>
        <v>120000</v>
      </c>
      <c r="I4" s="28">
        <f>G4*0.1</f>
        <v>15000</v>
      </c>
      <c r="J4" s="28">
        <f>G4*0.1</f>
        <v>15000</v>
      </c>
    </row>
    <row r="5" spans="1:14" ht="30" customHeight="1" x14ac:dyDescent="0.25">
      <c r="B5" s="13" t="s">
        <v>13</v>
      </c>
      <c r="C5" s="163" t="s">
        <v>43</v>
      </c>
      <c r="D5" s="163"/>
      <c r="E5" s="39">
        <v>0.2</v>
      </c>
      <c r="F5" s="36"/>
      <c r="G5" s="35">
        <f>G1*E5</f>
        <v>200000</v>
      </c>
      <c r="H5" s="28">
        <f>G5*0.8</f>
        <v>160000</v>
      </c>
      <c r="I5" s="28">
        <f>G5*0.1</f>
        <v>20000</v>
      </c>
      <c r="J5" s="28">
        <f>G5*0.1</f>
        <v>20000</v>
      </c>
      <c r="K5" s="28"/>
    </row>
    <row r="6" spans="1:14" ht="31.5" customHeight="1" x14ac:dyDescent="0.25">
      <c r="B6" s="10" t="s">
        <v>14</v>
      </c>
      <c r="C6" s="169" t="s">
        <v>39</v>
      </c>
      <c r="D6" s="169"/>
      <c r="E6" s="38">
        <v>0.15</v>
      </c>
      <c r="G6" s="28">
        <f>G1*E6</f>
        <v>150000</v>
      </c>
      <c r="H6" s="28">
        <f>G6*0.8</f>
        <v>120000</v>
      </c>
      <c r="I6" s="28">
        <f>G6*0.1</f>
        <v>15000</v>
      </c>
      <c r="J6" s="28">
        <f>G6*0.1</f>
        <v>15000</v>
      </c>
    </row>
    <row r="7" spans="1:14" ht="27" customHeight="1" x14ac:dyDescent="0.25">
      <c r="B7" s="52" t="s">
        <v>16</v>
      </c>
      <c r="C7" s="163" t="s">
        <v>66</v>
      </c>
      <c r="D7" s="163"/>
      <c r="E7" s="39">
        <f>100%-SUM(E4:E6)</f>
        <v>0.5</v>
      </c>
      <c r="F7" s="36"/>
      <c r="G7" s="35">
        <f>G1*E7</f>
        <v>500000</v>
      </c>
      <c r="H7" s="28"/>
      <c r="I7" s="28"/>
      <c r="J7" s="28"/>
    </row>
  </sheetData>
  <mergeCells count="5">
    <mergeCell ref="C6:D6"/>
    <mergeCell ref="C3:D3"/>
    <mergeCell ref="C4:D4"/>
    <mergeCell ref="C5:D5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38B7-36E7-4ED4-8A83-10EB8E483185}">
  <dimension ref="A1:L15"/>
  <sheetViews>
    <sheetView workbookViewId="0">
      <selection activeCell="B11" sqref="B11"/>
    </sheetView>
  </sheetViews>
  <sheetFormatPr defaultRowHeight="15" x14ac:dyDescent="0.25"/>
  <cols>
    <col min="3" max="3" width="27.25" customWidth="1"/>
    <col min="4" max="4" width="10.5" customWidth="1"/>
    <col min="5" max="5" width="12.125" customWidth="1"/>
    <col min="7" max="7" width="12.875" customWidth="1"/>
    <col min="10" max="10" width="20.75" customWidth="1"/>
    <col min="11" max="11" width="12.125" customWidth="1"/>
    <col min="12" max="12" width="14.625" customWidth="1"/>
  </cols>
  <sheetData>
    <row r="1" spans="1:12" ht="47.25" x14ac:dyDescent="0.4">
      <c r="A1" s="15">
        <v>0.05</v>
      </c>
      <c r="B1" s="7" t="s">
        <v>23</v>
      </c>
      <c r="C1" t="s">
        <v>24</v>
      </c>
      <c r="E1" s="5">
        <f>SUM(E4:E15)</f>
        <v>1</v>
      </c>
      <c r="G1" s="49">
        <f>'Части проекта'!D10</f>
        <v>5000000</v>
      </c>
      <c r="H1" s="7" t="s">
        <v>62</v>
      </c>
      <c r="K1" s="7" t="s">
        <v>77</v>
      </c>
      <c r="L1" s="7" t="s">
        <v>78</v>
      </c>
    </row>
    <row r="2" spans="1:12" ht="27" thickBot="1" x14ac:dyDescent="0.45">
      <c r="A2" s="6"/>
      <c r="B2" s="7"/>
      <c r="E2" s="5"/>
      <c r="J2" t="s">
        <v>76</v>
      </c>
      <c r="K2" s="7">
        <f>'5.Демо'!N2</f>
        <v>1.6E-2</v>
      </c>
      <c r="L2" s="7">
        <f>[1]Лист1!$D$9</f>
        <v>3.2000000000000001E-2</v>
      </c>
    </row>
    <row r="3" spans="1:12" ht="15.75" customHeight="1" thickBot="1" x14ac:dyDescent="0.3">
      <c r="B3" s="9"/>
      <c r="C3" s="165" t="s">
        <v>25</v>
      </c>
      <c r="D3" s="166"/>
      <c r="E3" s="8" t="s">
        <v>26</v>
      </c>
      <c r="F3" s="37"/>
      <c r="G3" s="30" t="s">
        <v>56</v>
      </c>
    </row>
    <row r="4" spans="1:12" ht="39" customHeight="1" x14ac:dyDescent="0.25">
      <c r="B4" s="10" t="s">
        <v>11</v>
      </c>
      <c r="C4" s="169" t="s">
        <v>153</v>
      </c>
      <c r="D4" s="169"/>
      <c r="E4" s="38">
        <v>7.4999999999999997E-2</v>
      </c>
      <c r="G4" s="28">
        <f>G1*E4</f>
        <v>375000</v>
      </c>
    </row>
    <row r="5" spans="1:12" ht="39" customHeight="1" x14ac:dyDescent="0.25">
      <c r="B5" s="153" t="s">
        <v>108</v>
      </c>
      <c r="C5" s="118" t="s">
        <v>168</v>
      </c>
      <c r="D5" s="118"/>
      <c r="E5" s="39"/>
      <c r="F5" s="36"/>
      <c r="G5" s="35"/>
    </row>
    <row r="6" spans="1:12" ht="39" customHeight="1" x14ac:dyDescent="0.25">
      <c r="B6" s="107" t="s">
        <v>109</v>
      </c>
      <c r="C6" s="119" t="s">
        <v>169</v>
      </c>
      <c r="D6" s="119"/>
      <c r="E6" s="38"/>
      <c r="G6" s="28"/>
    </row>
    <row r="7" spans="1:12" ht="39" customHeight="1" x14ac:dyDescent="0.25">
      <c r="B7" s="107" t="s">
        <v>112</v>
      </c>
      <c r="C7" s="119" t="s">
        <v>170</v>
      </c>
      <c r="D7" s="119"/>
      <c r="E7" s="38"/>
      <c r="G7" s="28"/>
    </row>
    <row r="8" spans="1:12" ht="34.5" customHeight="1" x14ac:dyDescent="0.25">
      <c r="B8" s="13" t="s">
        <v>13</v>
      </c>
      <c r="C8" s="163" t="s">
        <v>51</v>
      </c>
      <c r="D8" s="163"/>
      <c r="E8" s="39">
        <v>7.4999999999999997E-2</v>
      </c>
      <c r="F8" s="36"/>
      <c r="G8" s="35">
        <f>G1*E8</f>
        <v>375000</v>
      </c>
    </row>
    <row r="9" spans="1:12" ht="34.5" customHeight="1" x14ac:dyDescent="0.25">
      <c r="B9" s="139" t="s">
        <v>90</v>
      </c>
      <c r="C9" s="123" t="s">
        <v>152</v>
      </c>
      <c r="D9" s="123"/>
      <c r="E9" s="130"/>
      <c r="F9" s="127">
        <v>175000</v>
      </c>
      <c r="G9" s="127"/>
    </row>
    <row r="10" spans="1:12" ht="34.5" customHeight="1" x14ac:dyDescent="0.25">
      <c r="B10" s="79" t="s">
        <v>91</v>
      </c>
      <c r="C10" s="117" t="s">
        <v>171</v>
      </c>
      <c r="D10" s="117"/>
      <c r="E10" s="40"/>
      <c r="F10" s="72">
        <v>100000</v>
      </c>
      <c r="G10" s="72"/>
    </row>
    <row r="11" spans="1:12" ht="34.5" customHeight="1" x14ac:dyDescent="0.25">
      <c r="B11" s="78" t="s">
        <v>93</v>
      </c>
      <c r="C11" s="118" t="s">
        <v>154</v>
      </c>
      <c r="D11" s="118"/>
      <c r="E11" s="39"/>
      <c r="F11" s="35">
        <v>100000</v>
      </c>
      <c r="G11" s="35"/>
    </row>
    <row r="12" spans="1:12" ht="27" customHeight="1" x14ac:dyDescent="0.25">
      <c r="B12" s="10" t="s">
        <v>14</v>
      </c>
      <c r="C12" s="169" t="s">
        <v>53</v>
      </c>
      <c r="D12" s="169"/>
      <c r="E12" s="38">
        <v>0.05</v>
      </c>
      <c r="G12" s="28">
        <f>G1*E12</f>
        <v>250000</v>
      </c>
    </row>
    <row r="13" spans="1:12" ht="28.5" customHeight="1" x14ac:dyDescent="0.25">
      <c r="B13" s="13" t="s">
        <v>16</v>
      </c>
      <c r="C13" s="163" t="s">
        <v>52</v>
      </c>
      <c r="D13" s="163"/>
      <c r="E13" s="39">
        <v>0.2</v>
      </c>
      <c r="F13" s="36"/>
      <c r="G13" s="35">
        <f>G1*E13</f>
        <v>1000000</v>
      </c>
    </row>
    <row r="14" spans="1:12" ht="28.5" customHeight="1" x14ac:dyDescent="0.25">
      <c r="B14" s="67" t="s">
        <v>17</v>
      </c>
      <c r="C14" s="67" t="s">
        <v>73</v>
      </c>
      <c r="D14" s="67"/>
      <c r="E14" s="40">
        <v>0.2</v>
      </c>
      <c r="F14" s="71"/>
      <c r="G14" s="72">
        <f>G1*E14</f>
        <v>1000000</v>
      </c>
    </row>
    <row r="15" spans="1:12" s="53" customFormat="1" ht="24.75" customHeight="1" x14ac:dyDescent="0.25">
      <c r="B15" s="68" t="s">
        <v>19</v>
      </c>
      <c r="C15" s="68" t="s">
        <v>66</v>
      </c>
      <c r="D15" s="68"/>
      <c r="E15" s="39">
        <f>100%-SUM(E4:E14)</f>
        <v>0.39999999999999991</v>
      </c>
      <c r="F15" s="68"/>
      <c r="G15" s="35">
        <f>G1*E15</f>
        <v>1999999.9999999995</v>
      </c>
    </row>
  </sheetData>
  <mergeCells count="5">
    <mergeCell ref="C3:D3"/>
    <mergeCell ref="C4:D4"/>
    <mergeCell ref="C8:D8"/>
    <mergeCell ref="C12:D12"/>
    <mergeCell ref="C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2C88-3AC7-4B07-8C1D-B450EAC26792}">
  <dimension ref="A1:L16"/>
  <sheetViews>
    <sheetView workbookViewId="0">
      <selection activeCell="D18" sqref="D18"/>
    </sheetView>
  </sheetViews>
  <sheetFormatPr defaultRowHeight="15" x14ac:dyDescent="0.25"/>
  <cols>
    <col min="3" max="3" width="27.25" customWidth="1"/>
    <col min="5" max="5" width="10.25" customWidth="1"/>
    <col min="7" max="7" width="12.875" style="33" customWidth="1"/>
    <col min="10" max="10" width="20.5" customWidth="1"/>
    <col min="11" max="11" width="14.25" customWidth="1"/>
    <col min="12" max="12" width="15.625" customWidth="1"/>
  </cols>
  <sheetData>
    <row r="1" spans="1:12" ht="47.25" x14ac:dyDescent="0.4">
      <c r="A1" s="15">
        <v>7.0000000000000007E-2</v>
      </c>
      <c r="B1" s="7" t="s">
        <v>23</v>
      </c>
      <c r="C1" t="s">
        <v>24</v>
      </c>
      <c r="E1" s="5">
        <f>SUM(E5:E14)</f>
        <v>1</v>
      </c>
      <c r="G1" s="51">
        <f>'Части проекта'!D11</f>
        <v>7000000.0000000009</v>
      </c>
      <c r="H1" s="7" t="s">
        <v>62</v>
      </c>
      <c r="K1" s="7" t="s">
        <v>77</v>
      </c>
      <c r="L1" s="7" t="s">
        <v>78</v>
      </c>
    </row>
    <row r="2" spans="1:12" ht="26.25" x14ac:dyDescent="0.4">
      <c r="A2" s="6"/>
      <c r="B2" s="7"/>
      <c r="E2" s="5"/>
      <c r="J2" t="s">
        <v>76</v>
      </c>
      <c r="K2" s="7">
        <f>'6.Сооб.'!L2</f>
        <v>3.2000000000000001E-2</v>
      </c>
      <c r="L2" s="7">
        <f>[1]Лист1!$D$10</f>
        <v>6.4000000000000001E-2</v>
      </c>
    </row>
    <row r="3" spans="1:12" ht="27" thickBot="1" x14ac:dyDescent="0.45">
      <c r="A3" s="6"/>
      <c r="B3" s="7"/>
      <c r="E3" s="5"/>
      <c r="K3" s="7"/>
      <c r="L3" s="7"/>
    </row>
    <row r="4" spans="1:12" ht="15.75" customHeight="1" thickBot="1" x14ac:dyDescent="0.3">
      <c r="B4" s="37"/>
      <c r="C4" s="165" t="s">
        <v>25</v>
      </c>
      <c r="D4" s="166"/>
      <c r="E4" s="8" t="s">
        <v>26</v>
      </c>
      <c r="F4" s="37"/>
      <c r="G4" s="34" t="s">
        <v>56</v>
      </c>
    </row>
    <row r="5" spans="1:12" ht="21" customHeight="1" x14ac:dyDescent="0.25">
      <c r="B5" s="122" t="s">
        <v>11</v>
      </c>
      <c r="C5" s="164" t="s">
        <v>44</v>
      </c>
      <c r="D5" s="164"/>
      <c r="E5" s="130">
        <v>0.1</v>
      </c>
      <c r="F5" s="126"/>
      <c r="G5" s="127">
        <f>G1*E5</f>
        <v>700000.00000000012</v>
      </c>
    </row>
    <row r="6" spans="1:12" ht="24" customHeight="1" x14ac:dyDescent="0.25">
      <c r="B6" s="13" t="s">
        <v>13</v>
      </c>
      <c r="C6" s="163" t="s">
        <v>54</v>
      </c>
      <c r="D6" s="163"/>
      <c r="E6" s="39">
        <v>0.5</v>
      </c>
      <c r="F6" s="36"/>
      <c r="G6" s="35">
        <f>G1*E6</f>
        <v>3500000.0000000005</v>
      </c>
    </row>
    <row r="7" spans="1:12" ht="24" customHeight="1" x14ac:dyDescent="0.25">
      <c r="A7" s="80"/>
      <c r="B7" s="134" t="s">
        <v>90</v>
      </c>
      <c r="C7" s="135" t="s">
        <v>92</v>
      </c>
      <c r="D7" s="135"/>
      <c r="E7" s="136"/>
      <c r="F7" s="137">
        <v>100000</v>
      </c>
      <c r="G7" s="138"/>
    </row>
    <row r="8" spans="1:12" ht="24" customHeight="1" x14ac:dyDescent="0.25">
      <c r="B8" s="139" t="s">
        <v>91</v>
      </c>
      <c r="C8" s="122" t="s">
        <v>95</v>
      </c>
      <c r="D8" s="122"/>
      <c r="E8" s="130"/>
      <c r="F8" s="140">
        <v>500000</v>
      </c>
      <c r="G8" s="127"/>
    </row>
    <row r="9" spans="1:12" ht="24" customHeight="1" x14ac:dyDescent="0.25">
      <c r="A9" s="71"/>
      <c r="B9" s="81" t="s">
        <v>93</v>
      </c>
      <c r="C9" s="82" t="s">
        <v>96</v>
      </c>
      <c r="D9" s="82"/>
      <c r="E9" s="83"/>
      <c r="F9" s="85">
        <v>300000</v>
      </c>
      <c r="G9" s="84"/>
      <c r="H9" s="71"/>
    </row>
    <row r="10" spans="1:12" ht="24" customHeight="1" x14ac:dyDescent="0.25">
      <c r="B10" s="86" t="s">
        <v>94</v>
      </c>
      <c r="C10" s="87" t="s">
        <v>97</v>
      </c>
      <c r="D10" s="87"/>
      <c r="E10" s="88"/>
      <c r="F10" s="89">
        <v>100000</v>
      </c>
      <c r="G10" s="90"/>
    </row>
    <row r="11" spans="1:12" ht="24" customHeight="1" x14ac:dyDescent="0.25">
      <c r="B11" s="81" t="s">
        <v>98</v>
      </c>
      <c r="C11" s="73" t="s">
        <v>99</v>
      </c>
      <c r="D11" s="91"/>
      <c r="E11" s="92"/>
      <c r="F11" s="93">
        <v>150000</v>
      </c>
      <c r="G11" s="94"/>
    </row>
    <row r="12" spans="1:12" ht="24" customHeight="1" x14ac:dyDescent="0.25">
      <c r="B12" s="78" t="s">
        <v>100</v>
      </c>
      <c r="C12" s="95" t="s">
        <v>137</v>
      </c>
      <c r="D12" s="87"/>
      <c r="E12" s="88"/>
      <c r="F12" s="89">
        <v>2350000</v>
      </c>
      <c r="G12" s="90"/>
    </row>
    <row r="13" spans="1:12" ht="27" customHeight="1" x14ac:dyDescent="0.25">
      <c r="B13" s="10" t="s">
        <v>14</v>
      </c>
      <c r="C13" s="169" t="s">
        <v>39</v>
      </c>
      <c r="D13" s="169"/>
      <c r="E13" s="38">
        <v>0.1</v>
      </c>
      <c r="G13" s="28">
        <f>G1*E13</f>
        <v>700000.00000000012</v>
      </c>
    </row>
    <row r="14" spans="1:12" ht="25.5" customHeight="1" x14ac:dyDescent="0.25">
      <c r="B14" s="52" t="s">
        <v>16</v>
      </c>
      <c r="C14" s="163" t="s">
        <v>66</v>
      </c>
      <c r="D14" s="163"/>
      <c r="E14" s="39">
        <f>100%-SUM(E5:E13)</f>
        <v>0.30000000000000004</v>
      </c>
      <c r="F14" s="36"/>
      <c r="G14" s="35">
        <f>G1*E14</f>
        <v>2100000.0000000005</v>
      </c>
    </row>
    <row r="16" spans="1:12" x14ac:dyDescent="0.25">
      <c r="F16" s="26">
        <f>SUM(F7:F12)</f>
        <v>3500000</v>
      </c>
    </row>
  </sheetData>
  <mergeCells count="5">
    <mergeCell ref="C13:D13"/>
    <mergeCell ref="C4:D4"/>
    <mergeCell ref="C5:D5"/>
    <mergeCell ref="C6:D6"/>
    <mergeCell ref="C14:D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CE25-6247-4F29-8D78-317ADBA73399}">
  <dimension ref="A1:L10"/>
  <sheetViews>
    <sheetView workbookViewId="0">
      <selection activeCell="L3" sqref="L3"/>
    </sheetView>
  </sheetViews>
  <sheetFormatPr defaultRowHeight="15" x14ac:dyDescent="0.25"/>
  <cols>
    <col min="3" max="3" width="27.25" customWidth="1"/>
    <col min="5" max="5" width="9" customWidth="1"/>
    <col min="7" max="7" width="12.625" customWidth="1"/>
    <col min="10" max="10" width="20.5" customWidth="1"/>
    <col min="11" max="11" width="14.375" customWidth="1"/>
    <col min="12" max="12" width="16" customWidth="1"/>
  </cols>
  <sheetData>
    <row r="1" spans="1:12" ht="47.25" x14ac:dyDescent="0.4">
      <c r="A1" s="15">
        <v>0.2</v>
      </c>
      <c r="B1" s="7" t="s">
        <v>23</v>
      </c>
      <c r="C1" t="s">
        <v>24</v>
      </c>
      <c r="E1" s="5">
        <f>SUM(E4:E10)</f>
        <v>1</v>
      </c>
      <c r="F1" s="5"/>
      <c r="G1" s="49">
        <f>'Части проекта'!D12</f>
        <v>20000000</v>
      </c>
      <c r="H1" s="7" t="s">
        <v>62</v>
      </c>
      <c r="K1" s="7" t="s">
        <v>77</v>
      </c>
      <c r="L1" s="7" t="s">
        <v>78</v>
      </c>
    </row>
    <row r="2" spans="1:12" ht="27" thickBot="1" x14ac:dyDescent="0.45">
      <c r="A2" s="6"/>
      <c r="B2" s="7"/>
      <c r="E2" s="5"/>
      <c r="F2" s="5"/>
      <c r="J2" t="s">
        <v>76</v>
      </c>
      <c r="K2" s="7">
        <f>'7.Прото.'!L2</f>
        <v>6.4000000000000001E-2</v>
      </c>
      <c r="L2" s="7">
        <f>[1]Лист1!$D$11</f>
        <v>0.128</v>
      </c>
    </row>
    <row r="3" spans="1:12" ht="15.75" customHeight="1" thickBot="1" x14ac:dyDescent="0.3">
      <c r="B3" s="9"/>
      <c r="C3" s="165" t="s">
        <v>25</v>
      </c>
      <c r="D3" s="166"/>
      <c r="E3" s="8" t="s">
        <v>26</v>
      </c>
      <c r="F3" s="29"/>
      <c r="G3" s="30" t="s">
        <v>56</v>
      </c>
    </row>
    <row r="4" spans="1:12" ht="22.5" customHeight="1" x14ac:dyDescent="0.25">
      <c r="B4" s="10" t="s">
        <v>11</v>
      </c>
      <c r="C4" s="169" t="s">
        <v>72</v>
      </c>
      <c r="D4" s="169"/>
      <c r="E4" s="38">
        <v>0.1</v>
      </c>
      <c r="F4" s="12"/>
      <c r="G4" s="28">
        <f>G1*E4</f>
        <v>2000000</v>
      </c>
    </row>
    <row r="5" spans="1:12" ht="33.75" customHeight="1" x14ac:dyDescent="0.25">
      <c r="B5" s="13" t="s">
        <v>13</v>
      </c>
      <c r="C5" s="163" t="s">
        <v>74</v>
      </c>
      <c r="D5" s="163"/>
      <c r="E5" s="39">
        <v>0.03</v>
      </c>
      <c r="F5" s="14"/>
      <c r="G5" s="35">
        <f>G1*E5</f>
        <v>600000</v>
      </c>
    </row>
    <row r="6" spans="1:12" ht="27" customHeight="1" x14ac:dyDescent="0.25">
      <c r="B6" s="10" t="s">
        <v>14</v>
      </c>
      <c r="C6" s="169" t="s">
        <v>70</v>
      </c>
      <c r="D6" s="169"/>
      <c r="E6" s="38">
        <v>0.05</v>
      </c>
      <c r="F6" s="12"/>
      <c r="G6" s="28">
        <f>G1*E6</f>
        <v>1000000</v>
      </c>
    </row>
    <row r="7" spans="1:12" ht="23.25" customHeight="1" x14ac:dyDescent="0.25">
      <c r="B7" s="13" t="s">
        <v>16</v>
      </c>
      <c r="C7" s="163" t="s">
        <v>71</v>
      </c>
      <c r="D7" s="163"/>
      <c r="E7" s="39">
        <v>0.2</v>
      </c>
      <c r="F7" s="14"/>
      <c r="G7" s="35">
        <f>G1*E7</f>
        <v>4000000</v>
      </c>
    </row>
    <row r="8" spans="1:12" ht="31.5" customHeight="1" x14ac:dyDescent="0.25">
      <c r="B8" s="10" t="s">
        <v>17</v>
      </c>
      <c r="C8" s="169" t="s">
        <v>75</v>
      </c>
      <c r="D8" s="169"/>
      <c r="E8" s="38">
        <v>7.0000000000000007E-2</v>
      </c>
      <c r="F8" s="12"/>
      <c r="G8" s="28">
        <f>G1*E8</f>
        <v>1400000.0000000002</v>
      </c>
    </row>
    <row r="9" spans="1:12" ht="25.5" customHeight="1" x14ac:dyDescent="0.25">
      <c r="B9" s="13" t="s">
        <v>19</v>
      </c>
      <c r="C9" s="163" t="s">
        <v>53</v>
      </c>
      <c r="D9" s="163"/>
      <c r="E9" s="39">
        <v>0.05</v>
      </c>
      <c r="F9" s="14"/>
      <c r="G9" s="35">
        <f>G1*E9</f>
        <v>1000000</v>
      </c>
    </row>
    <row r="10" spans="1:12" ht="24" customHeight="1" x14ac:dyDescent="0.25">
      <c r="B10" s="10" t="s">
        <v>21</v>
      </c>
      <c r="C10" s="169" t="s">
        <v>66</v>
      </c>
      <c r="D10" s="169"/>
      <c r="E10" s="38">
        <f>100%-SUM(E4:E9)</f>
        <v>0.5</v>
      </c>
      <c r="F10" s="18"/>
      <c r="G10" s="28">
        <f>G1*E10</f>
        <v>10000000</v>
      </c>
    </row>
  </sheetData>
  <mergeCells count="8">
    <mergeCell ref="C9:D9"/>
    <mergeCell ref="C10:D10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2</vt:i4>
      </vt:variant>
    </vt:vector>
  </HeadingPairs>
  <TitlesOfParts>
    <vt:vector size="18" baseType="lpstr">
      <vt:lpstr>Части проекта</vt:lpstr>
      <vt:lpstr>1.Идея</vt:lpstr>
      <vt:lpstr>2.Конц.</vt:lpstr>
      <vt:lpstr>3.Сайт</vt:lpstr>
      <vt:lpstr>4.Док.</vt:lpstr>
      <vt:lpstr>5.Демо</vt:lpstr>
      <vt:lpstr>6.Сооб.</vt:lpstr>
      <vt:lpstr>7.Прото.</vt:lpstr>
      <vt:lpstr>8. Маркет.</vt:lpstr>
      <vt:lpstr>9. Моб.в.</vt:lpstr>
      <vt:lpstr>10. РС в.</vt:lpstr>
      <vt:lpstr>11. Ос.ч.</vt:lpstr>
      <vt:lpstr>Выплаты</vt:lpstr>
      <vt:lpstr>Прогресс</vt:lpstr>
      <vt:lpstr>Цена</vt:lpstr>
      <vt:lpstr>Участники</vt:lpstr>
      <vt:lpstr>'Части проекта'!Заголовки_для_печати</vt:lpstr>
      <vt:lpstr>ЗаголовокСтолбца1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</dc:creator>
  <cp:lastModifiedBy>Lore</cp:lastModifiedBy>
  <dcterms:created xsi:type="dcterms:W3CDTF">2017-05-19T06:02:09Z</dcterms:created>
  <dcterms:modified xsi:type="dcterms:W3CDTF">2019-06-18T12:17:27Z</dcterms:modified>
</cp:coreProperties>
</file>