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2.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ЭтаКнига" defaultThemeVersion="124226"/>
  <mc:AlternateContent xmlns:mc="http://schemas.openxmlformats.org/markup-compatibility/2006">
    <mc:Choice Requires="x15">
      <x15ac:absPath xmlns:x15ac="http://schemas.microsoft.com/office/spreadsheetml/2010/11/ac" url="C:\Users\isava\source\repos\ConsolkaExcel\"/>
    </mc:Choice>
  </mc:AlternateContent>
  <xr:revisionPtr revIDLastSave="0" documentId="13_ncr:1_{A012F949-A9F6-4DF2-8FDB-3D04D7148050}" xr6:coauthVersionLast="45" xr6:coauthVersionMax="45" xr10:uidLastSave="{00000000-0000-0000-0000-000000000000}"/>
  <bookViews>
    <workbookView xWindow="-120" yWindow="-120" windowWidth="24240" windowHeight="13140" activeTab="1" xr2:uid="{00000000-000D-0000-FFFF-FFFF00000000}"/>
  </bookViews>
  <sheets>
    <sheet name="Опросник" sheetId="1" r:id="rId1"/>
    <sheet name="Расчет" sheetId="3" r:id="rId2"/>
    <sheet name="КП" sheetId="2" r:id="rId3"/>
    <sheet name="Заказчики" sheetId="10" r:id="rId4"/>
    <sheet name="Прайс" sheetId="4" r:id="rId5"/>
    <sheet name="Специф" sheetId="5" r:id="rId6"/>
    <sheet name="Лист4" sheetId="9" state="hidden" r:id="rId7"/>
  </sheets>
  <definedNames>
    <definedName name="rates" localSheetId="6">Лист4!$A$1:$E$36</definedName>
    <definedName name="www.interfax.ru" localSheetId="6">Лист4!$G$1:$K$2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4" l="1"/>
  <c r="F18" i="4"/>
  <c r="F17" i="4"/>
  <c r="F16" i="4"/>
  <c r="F15" i="4"/>
  <c r="F14" i="4"/>
  <c r="F13" i="4"/>
  <c r="F12" i="4"/>
  <c r="F11" i="4"/>
  <c r="F10" i="4"/>
  <c r="F9" i="4"/>
  <c r="F8" i="4"/>
  <c r="F7" i="4"/>
  <c r="F6" i="4"/>
  <c r="F16" i="1" l="1"/>
  <c r="D22" i="1" l="1"/>
  <c r="D20" i="1"/>
  <c r="F6" i="1" l="1"/>
  <c r="C29" i="3" l="1"/>
  <c r="D29" i="3" l="1"/>
  <c r="J65" i="3" l="1"/>
  <c r="K22" i="1" l="1"/>
  <c r="B34" i="2" s="1"/>
  <c r="K8" i="1"/>
  <c r="K6" i="1"/>
  <c r="K5" i="1"/>
  <c r="K3" i="1"/>
  <c r="K4" i="1"/>
  <c r="C51" i="3" l="1"/>
  <c r="D51" i="3" s="1"/>
  <c r="C52" i="3"/>
  <c r="D52" i="3" s="1"/>
  <c r="G30" i="2" s="1"/>
  <c r="C53" i="3"/>
  <c r="D53" i="3" s="1"/>
  <c r="G31" i="2" s="1"/>
  <c r="R65" i="3"/>
  <c r="B53" i="3" s="1"/>
  <c r="C31" i="2" s="1"/>
  <c r="Q65" i="3"/>
  <c r="B52" i="3" s="1"/>
  <c r="C30" i="2" s="1"/>
  <c r="F53" i="3" l="1"/>
  <c r="I31" i="2" s="1"/>
  <c r="F52" i="3"/>
  <c r="I30" i="2" s="1"/>
  <c r="E30" i="3"/>
  <c r="G29" i="2" l="1"/>
  <c r="F51" i="3"/>
  <c r="I29" i="2" s="1"/>
  <c r="C50" i="3"/>
  <c r="D50" i="3" s="1"/>
  <c r="G28" i="2" s="1"/>
  <c r="C49" i="3"/>
  <c r="D49" i="3" s="1"/>
  <c r="G27" i="2" s="1"/>
  <c r="C48" i="3"/>
  <c r="P65" i="3"/>
  <c r="B51" i="3" s="1"/>
  <c r="C29" i="2" s="1"/>
  <c r="O65" i="3"/>
  <c r="B50" i="3" s="1"/>
  <c r="C28" i="2" s="1"/>
  <c r="N65" i="3"/>
  <c r="B49" i="3" s="1"/>
  <c r="C27" i="2" s="1"/>
  <c r="M65" i="3"/>
  <c r="B48" i="3" s="1"/>
  <c r="C26" i="2" s="1"/>
  <c r="D47" i="3"/>
  <c r="L65" i="3"/>
  <c r="D48" i="3" l="1"/>
  <c r="G26" i="2" s="1"/>
  <c r="F50" i="3"/>
  <c r="I28" i="2" s="1"/>
  <c r="F49" i="3"/>
  <c r="I27" i="2" s="1"/>
  <c r="B47" i="3"/>
  <c r="C25" i="2" s="1"/>
  <c r="E31" i="3"/>
  <c r="F48" i="3" l="1"/>
  <c r="I26" i="2" s="1"/>
  <c r="C38" i="3" l="1"/>
  <c r="D28" i="3" l="1"/>
  <c r="D31" i="3" l="1"/>
  <c r="D37" i="3"/>
  <c r="C26" i="3"/>
  <c r="G26" i="3" s="1"/>
  <c r="B3" i="1"/>
  <c r="F9" i="5"/>
  <c r="D36" i="3"/>
  <c r="G2" i="4"/>
  <c r="D4" i="4"/>
  <c r="F21" i="1"/>
  <c r="B23" i="3"/>
  <c r="F64" i="3"/>
  <c r="B27" i="3"/>
  <c r="E28" i="3"/>
  <c r="C5" i="3"/>
  <c r="L13" i="1" s="1"/>
  <c r="D34" i="3"/>
  <c r="E40" i="2"/>
  <c r="D12" i="2"/>
  <c r="I59" i="3"/>
  <c r="S6" i="4"/>
  <c r="S7" i="4"/>
  <c r="S8" i="4"/>
  <c r="S9" i="4"/>
  <c r="S10" i="4"/>
  <c r="S11" i="4"/>
  <c r="S12" i="4"/>
  <c r="S13" i="4"/>
  <c r="S14" i="4"/>
  <c r="S15" i="4"/>
  <c r="S16" i="4"/>
  <c r="S17" i="4"/>
  <c r="S18" i="4"/>
  <c r="S19" i="4"/>
  <c r="F18" i="2"/>
  <c r="I13" i="2"/>
  <c r="I14" i="2" s="1"/>
  <c r="I12" i="2"/>
  <c r="F9" i="3"/>
  <c r="C36" i="3"/>
  <c r="C4" i="3"/>
  <c r="C31" i="3"/>
  <c r="F25" i="5"/>
  <c r="F31" i="5"/>
  <c r="F30" i="5"/>
  <c r="F24" i="5"/>
  <c r="C11" i="5"/>
  <c r="C10" i="5"/>
  <c r="D9" i="5"/>
  <c r="C8" i="5"/>
  <c r="C9" i="5" s="1"/>
  <c r="C7" i="5"/>
  <c r="C6" i="5"/>
  <c r="C5" i="5"/>
  <c r="C4" i="5"/>
  <c r="C1" i="5"/>
  <c r="C46" i="3"/>
  <c r="C33" i="3"/>
  <c r="D33" i="3" s="1"/>
  <c r="C44" i="3"/>
  <c r="C47" i="3" s="1"/>
  <c r="C2" i="3"/>
  <c r="C7" i="3"/>
  <c r="C10" i="3"/>
  <c r="C9" i="3"/>
  <c r="G29" i="3" s="1"/>
  <c r="F29" i="3" s="1"/>
  <c r="K4" i="4" l="1"/>
  <c r="F14" i="3"/>
  <c r="G36" i="3" s="1"/>
  <c r="H44" i="3"/>
  <c r="H45" i="3"/>
  <c r="I4" i="4"/>
  <c r="F5" i="5" s="1"/>
  <c r="J4" i="4"/>
  <c r="F6" i="5" s="1"/>
  <c r="F11" i="3"/>
  <c r="J27" i="1" s="1"/>
  <c r="D38" i="3"/>
  <c r="F38" i="3" s="1"/>
  <c r="G38" i="3" s="1"/>
  <c r="F26" i="3"/>
  <c r="H26" i="3" s="1"/>
  <c r="B36" i="2"/>
  <c r="F31" i="3"/>
  <c r="H31" i="3" s="1"/>
  <c r="P4" i="4"/>
  <c r="C34" i="3"/>
  <c r="B45" i="3"/>
  <c r="C21" i="2" s="1"/>
  <c r="G32" i="3"/>
  <c r="G27" i="3"/>
  <c r="G31" i="3"/>
  <c r="F5" i="3"/>
  <c r="C27" i="3" s="1"/>
  <c r="F16" i="5"/>
  <c r="F29" i="5"/>
  <c r="D12" i="4"/>
  <c r="C30" i="3"/>
  <c r="G30" i="3" s="1"/>
  <c r="C45" i="3"/>
  <c r="O4" i="4"/>
  <c r="F20" i="5" s="1"/>
  <c r="F7" i="3"/>
  <c r="W5" i="4"/>
  <c r="D13" i="2"/>
  <c r="C35" i="3"/>
  <c r="D35" i="3" s="1"/>
  <c r="M3" i="1"/>
  <c r="H64" i="3"/>
  <c r="H29" i="3"/>
  <c r="D6" i="4"/>
  <c r="D15" i="4"/>
  <c r="D14" i="4"/>
  <c r="D11" i="4"/>
  <c r="D13" i="4"/>
  <c r="D18" i="4"/>
  <c r="D17" i="4"/>
  <c r="D7" i="4"/>
  <c r="D16" i="4"/>
  <c r="D9" i="4"/>
  <c r="D8" i="4"/>
  <c r="D19" i="4"/>
  <c r="D10" i="4"/>
  <c r="F26" i="5"/>
  <c r="F27" i="5" s="1"/>
  <c r="D44" i="3" l="1"/>
  <c r="G19" i="2" s="1"/>
  <c r="F19" i="2" s="1"/>
  <c r="I19" i="2" s="1"/>
  <c r="W12" i="4"/>
  <c r="W11" i="4"/>
  <c r="W7" i="4"/>
  <c r="D45" i="3"/>
  <c r="G21" i="2" s="1"/>
  <c r="F21" i="2" s="1"/>
  <c r="I21" i="2" s="1"/>
  <c r="W9" i="4"/>
  <c r="W10" i="4"/>
  <c r="W8" i="4"/>
  <c r="W6" i="4"/>
  <c r="F21" i="5"/>
  <c r="F30" i="3"/>
  <c r="H30" i="3" s="1"/>
  <c r="J30" i="3" s="1"/>
  <c r="K30" i="3" s="1"/>
  <c r="F27" i="3"/>
  <c r="H27" i="3" s="1"/>
  <c r="J27" i="3" s="1"/>
  <c r="K27" i="3" s="1"/>
  <c r="L4" i="4"/>
  <c r="F32" i="3"/>
  <c r="H32" i="3" s="1"/>
  <c r="J32" i="3" s="1"/>
  <c r="K32" i="3" s="1"/>
  <c r="F8" i="5"/>
  <c r="J26" i="3"/>
  <c r="K26" i="3" s="1"/>
  <c r="J29" i="3"/>
  <c r="K29" i="3" s="1"/>
  <c r="J31" i="3"/>
  <c r="K31" i="3" s="1"/>
  <c r="C18" i="4"/>
  <c r="C12" i="4"/>
  <c r="C11" i="4"/>
  <c r="C16" i="4"/>
  <c r="C19" i="4"/>
  <c r="C14" i="4"/>
  <c r="C10" i="4"/>
  <c r="C15" i="4"/>
  <c r="C7" i="4"/>
  <c r="C9" i="4"/>
  <c r="C6" i="4"/>
  <c r="C17" i="4"/>
  <c r="C13" i="4"/>
  <c r="C8" i="4"/>
  <c r="F36" i="3"/>
  <c r="H36" i="3" s="1"/>
  <c r="J36" i="3" s="1"/>
  <c r="K36" i="3" s="1"/>
  <c r="H38" i="3"/>
  <c r="F45" i="3" l="1"/>
  <c r="F44" i="3"/>
  <c r="Q17" i="4"/>
  <c r="Q13" i="4"/>
  <c r="Q8" i="4"/>
  <c r="Q16" i="4"/>
  <c r="Q12" i="4"/>
  <c r="Q7" i="4"/>
  <c r="Q19" i="4"/>
  <c r="Q15" i="4"/>
  <c r="Q11" i="4"/>
  <c r="Q6" i="4"/>
  <c r="Q18" i="4"/>
  <c r="Q14" i="4"/>
  <c r="Q9" i="4"/>
  <c r="Q10" i="4"/>
  <c r="F10" i="5"/>
  <c r="F11" i="5" s="1"/>
  <c r="N4" i="4"/>
  <c r="F7" i="5"/>
  <c r="F35" i="3"/>
  <c r="F12" i="5" l="1"/>
  <c r="F15" i="5" s="1"/>
  <c r="H35" i="3"/>
  <c r="G35" i="3"/>
  <c r="F14" i="5" l="1"/>
  <c r="F13" i="5"/>
  <c r="J35" i="3"/>
  <c r="K35" i="3" s="1"/>
  <c r="J38" i="3" l="1"/>
  <c r="K38" i="3" s="1"/>
  <c r="F32" i="5" l="1"/>
  <c r="F47" i="3"/>
  <c r="I25" i="2" l="1"/>
  <c r="F30" i="2" l="1"/>
  <c r="F26" i="2"/>
  <c r="F28" i="2"/>
  <c r="F25" i="2"/>
  <c r="G25" i="2" s="1"/>
  <c r="F27" i="2"/>
  <c r="F29" i="2"/>
  <c r="F31" i="2"/>
  <c r="D25" i="1" l="1"/>
  <c r="L12" i="1" l="1"/>
  <c r="B46" i="3"/>
  <c r="C23" i="2" s="1"/>
  <c r="C3" i="3"/>
  <c r="C6" i="3" s="1"/>
  <c r="F46" i="3"/>
  <c r="G23" i="2" s="1"/>
  <c r="B44" i="3" l="1"/>
  <c r="C19" i="2" s="1"/>
  <c r="C8" i="3"/>
  <c r="C11" i="3" s="1"/>
  <c r="F23" i="2"/>
  <c r="I23" i="2" s="1"/>
  <c r="F54" i="3"/>
  <c r="R6" i="3" l="1"/>
  <c r="G34" i="3"/>
  <c r="O6" i="3"/>
  <c r="Y6" i="3"/>
  <c r="AA6" i="3"/>
  <c r="P6" i="3"/>
  <c r="V6" i="3"/>
  <c r="C37" i="3"/>
  <c r="L6" i="3"/>
  <c r="AC6" i="3"/>
  <c r="Z6" i="3"/>
  <c r="S6" i="3"/>
  <c r="N6" i="3"/>
  <c r="M6" i="3"/>
  <c r="C13" i="3" s="1"/>
  <c r="D14" i="3" s="1"/>
  <c r="C28" i="3"/>
  <c r="G28" i="3" s="1"/>
  <c r="F28" i="3" s="1"/>
  <c r="H28" i="3" s="1"/>
  <c r="J28" i="3" s="1"/>
  <c r="K28" i="3" s="1"/>
  <c r="W6" i="3"/>
  <c r="G39" i="3"/>
  <c r="Q6" i="3"/>
  <c r="X6" i="3"/>
  <c r="D6" i="1"/>
  <c r="H4" i="4" s="1"/>
  <c r="T6" i="3"/>
  <c r="AB6" i="3"/>
  <c r="C12" i="3"/>
  <c r="U6" i="3"/>
  <c r="F34" i="3"/>
  <c r="H34" i="3" s="1"/>
  <c r="B65" i="3" l="1"/>
  <c r="C18" i="2" s="1"/>
  <c r="C14" i="3"/>
  <c r="G25" i="3" s="1"/>
  <c r="J34" i="3"/>
  <c r="K34" i="3" s="1"/>
  <c r="F39" i="3"/>
  <c r="H39" i="3" s="1"/>
  <c r="J39" i="3" s="1"/>
  <c r="K39" i="3"/>
  <c r="B64" i="3"/>
  <c r="B68" i="3"/>
  <c r="B66" i="3"/>
  <c r="B67" i="3"/>
  <c r="B69" i="3"/>
  <c r="F23" i="5"/>
  <c r="F37" i="3"/>
  <c r="F25" i="3" l="1"/>
  <c r="H25" i="3" s="1"/>
  <c r="D15" i="3"/>
  <c r="M25" i="1"/>
  <c r="E46" i="2" s="1"/>
  <c r="G37" i="3"/>
  <c r="K37" i="3" s="1"/>
  <c r="H37" i="3"/>
  <c r="B12" i="4"/>
  <c r="E12" i="4" s="1"/>
  <c r="X8" i="4"/>
  <c r="X12" i="4"/>
  <c r="B6" i="4"/>
  <c r="E6" i="4" s="1"/>
  <c r="X9" i="4"/>
  <c r="X5" i="4"/>
  <c r="B15" i="4"/>
  <c r="E15" i="4" s="1"/>
  <c r="B16" i="4"/>
  <c r="E16" i="4" s="1"/>
  <c r="B10" i="4"/>
  <c r="E10" i="4" s="1"/>
  <c r="B18" i="4"/>
  <c r="E18" i="4" s="1"/>
  <c r="B11" i="4"/>
  <c r="E11" i="4" s="1"/>
  <c r="B14" i="4"/>
  <c r="E14" i="4" s="1"/>
  <c r="B13" i="4"/>
  <c r="E13" i="4" s="1"/>
  <c r="X11" i="4"/>
  <c r="B9" i="4"/>
  <c r="E9" i="4" s="1"/>
  <c r="B17" i="4"/>
  <c r="E17" i="4" s="1"/>
  <c r="B7" i="4"/>
  <c r="E7" i="4" s="1"/>
  <c r="B19" i="4"/>
  <c r="E19" i="4" s="1"/>
  <c r="B8" i="4"/>
  <c r="E8" i="4" s="1"/>
  <c r="X10" i="4"/>
  <c r="X7" i="4"/>
  <c r="F4" i="5"/>
  <c r="X6" i="4"/>
  <c r="B6" i="1" l="1"/>
  <c r="J37" i="3"/>
  <c r="H65" i="3"/>
  <c r="G33" i="3"/>
  <c r="J25" i="3"/>
  <c r="K25" i="3" l="1"/>
  <c r="F33" i="3"/>
  <c r="F40" i="3" s="1"/>
  <c r="G40" i="3"/>
  <c r="H69" i="3"/>
  <c r="H66" i="3"/>
  <c r="H33" i="3" l="1"/>
  <c r="M22" i="1" l="1"/>
  <c r="F41" i="3" s="1"/>
  <c r="F42" i="3" s="1"/>
  <c r="G18" i="2"/>
  <c r="I18" i="2" s="1"/>
  <c r="I32" i="2" s="1"/>
  <c r="I34" i="2" s="1"/>
  <c r="F57" i="3"/>
  <c r="M21" i="1" s="1"/>
  <c r="J33" i="3"/>
  <c r="H40" i="3"/>
  <c r="M23" i="1" l="1"/>
  <c r="H57" i="3" s="1"/>
  <c r="J40" i="3"/>
  <c r="K40" i="3" s="1"/>
  <c r="K33" i="3"/>
  <c r="H59" i="3" l="1"/>
  <c r="M24" i="1"/>
  <c r="I36" i="2"/>
  <c r="E43" i="2" s="1"/>
  <c r="H5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interval="60" name="Подключение" type="4" refreshedVersion="6" background="1" refreshOnLoad="1" saveData="1">
    <webPr sourceData="1" parsePre="1" consecutive="1" xl2000="1" url="http://www.finmarket.ru/currency/rates" htmlTables="1">
      <tables count="1">
        <x v="2"/>
      </tables>
    </webPr>
  </connection>
  <connection id="2" xr16:uid="{00000000-0015-0000-FFFF-FFFF01000000}" name="Подключение1" type="4" refreshedVersion="4" background="1" saveData="1">
    <webPr sourceData="1" parsePre="1" consecutive="1" xl2000="1" url="http://www.interfax.ru" htmlTables="1">
      <tables count="1">
        <x v="13"/>
      </tables>
    </webPr>
  </connection>
</connections>
</file>

<file path=xl/sharedStrings.xml><?xml version="1.0" encoding="utf-8"?>
<sst xmlns="http://schemas.openxmlformats.org/spreadsheetml/2006/main" count="744" uniqueCount="615">
  <si>
    <t>Корпус</t>
  </si>
  <si>
    <t>Чугун</t>
  </si>
  <si>
    <t>Входная труба</t>
  </si>
  <si>
    <t>DN</t>
  </si>
  <si>
    <t>глубина до лотка</t>
  </si>
  <si>
    <t>мм</t>
  </si>
  <si>
    <t>Заказчик</t>
  </si>
  <si>
    <t>Имя</t>
  </si>
  <si>
    <t>e-mail</t>
  </si>
  <si>
    <t>Компания</t>
  </si>
  <si>
    <t>Город</t>
  </si>
  <si>
    <t>Корзина на входную трубу</t>
  </si>
  <si>
    <t>арматура</t>
  </si>
  <si>
    <t>×</t>
  </si>
  <si>
    <t>шт</t>
  </si>
  <si>
    <t>м³/час</t>
  </si>
  <si>
    <t>м</t>
  </si>
  <si>
    <t>диаметр</t>
  </si>
  <si>
    <t>Количество рабочих насосов</t>
  </si>
  <si>
    <t>Количество включений в час</t>
  </si>
  <si>
    <t>Q КНС, м³/ч</t>
  </si>
  <si>
    <t>S cечения КНС, м²</t>
  </si>
  <si>
    <t>H приямка, м</t>
  </si>
  <si>
    <t>H min погружения насоса , м</t>
  </si>
  <si>
    <t>Н КНС, м</t>
  </si>
  <si>
    <t>объем КНС, м³</t>
  </si>
  <si>
    <t>Н до лотка входной трубы, м</t>
  </si>
  <si>
    <t>высота</t>
  </si>
  <si>
    <t>Диаметр, мм</t>
  </si>
  <si>
    <t>Высота, мм</t>
  </si>
  <si>
    <t>Скидка %</t>
  </si>
  <si>
    <t>Стоимость заказа:</t>
  </si>
  <si>
    <t>Итого со скидкой:</t>
  </si>
  <si>
    <t>Масса изделия:</t>
  </si>
  <si>
    <t>масса корпуса, кг</t>
  </si>
  <si>
    <t>Диаметр корпуса, м</t>
  </si>
  <si>
    <t>средняя толщина стенок, м</t>
  </si>
  <si>
    <t>коэффициент отходов</t>
  </si>
  <si>
    <t>плотность материала</t>
  </si>
  <si>
    <t>стоимость материала</t>
  </si>
  <si>
    <t>руб/кг</t>
  </si>
  <si>
    <t>Насосы</t>
  </si>
  <si>
    <t>Муфты</t>
  </si>
  <si>
    <t>Поплавки</t>
  </si>
  <si>
    <t>Утепление, м</t>
  </si>
  <si>
    <t>Лестница, м</t>
  </si>
  <si>
    <t>руб/м</t>
  </si>
  <si>
    <t>коэффициент наценки</t>
  </si>
  <si>
    <t>Корпус стеклопластиковый</t>
  </si>
  <si>
    <t>Крышка, м²</t>
  </si>
  <si>
    <t>Крепёж анкерный, шт</t>
  </si>
  <si>
    <t>к-во отв.</t>
  </si>
  <si>
    <t>Цепи оцинк. корзина, м</t>
  </si>
  <si>
    <t>ИТОГО:</t>
  </si>
  <si>
    <t>кВт</t>
  </si>
  <si>
    <t>кг</t>
  </si>
  <si>
    <t>толщина площадок</t>
  </si>
  <si>
    <t>кг/м³</t>
  </si>
  <si>
    <t>€</t>
  </si>
  <si>
    <t>л/сек</t>
  </si>
  <si>
    <t>Лестница</t>
  </si>
  <si>
    <t>Материал</t>
  </si>
  <si>
    <t>Кол-во</t>
  </si>
  <si>
    <t>Расчет трубопровода</t>
  </si>
  <si>
    <t>Прайс нержавейка</t>
  </si>
  <si>
    <t>Труба</t>
  </si>
  <si>
    <t>Отвод</t>
  </si>
  <si>
    <t>Тройник</t>
  </si>
  <si>
    <t>Воротник</t>
  </si>
  <si>
    <t>Фланец</t>
  </si>
  <si>
    <t>Задвижка</t>
  </si>
  <si>
    <t>Клапан</t>
  </si>
  <si>
    <t>число</t>
  </si>
  <si>
    <t>Прайс ШУ</t>
  </si>
  <si>
    <t>м/с</t>
  </si>
  <si>
    <t>Скорость в КНС</t>
  </si>
  <si>
    <t>Спецификация к заказу №</t>
  </si>
  <si>
    <t>№пп</t>
  </si>
  <si>
    <t>Наименование</t>
  </si>
  <si>
    <t>Ед.изм.</t>
  </si>
  <si>
    <t>Примечание</t>
  </si>
  <si>
    <t>AISI304</t>
  </si>
  <si>
    <t>Отвод 90°</t>
  </si>
  <si>
    <t>Болт М16×70</t>
  </si>
  <si>
    <t>Шайба гровер М16</t>
  </si>
  <si>
    <t>Гайка М16</t>
  </si>
  <si>
    <t>Цепь грузоподъемная для насосов</t>
  </si>
  <si>
    <t xml:space="preserve">Карабин </t>
  </si>
  <si>
    <t>Цепь для сороулавливающей корзины</t>
  </si>
  <si>
    <t>Оцинков.ст.</t>
  </si>
  <si>
    <t>Карабин винтовой</t>
  </si>
  <si>
    <t>Щит управления</t>
  </si>
  <si>
    <t>Направляющие под корзину</t>
  </si>
  <si>
    <t>Переход</t>
  </si>
  <si>
    <t>коэффициент диаметра</t>
  </si>
  <si>
    <t>Анкер М12х120</t>
  </si>
  <si>
    <t>Ниппель приварной</t>
  </si>
  <si>
    <t>Прокладка паронитовая</t>
  </si>
  <si>
    <t xml:space="preserve">Задвижка </t>
  </si>
  <si>
    <t>Клапан обратный</t>
  </si>
  <si>
    <t xml:space="preserve">Насосы </t>
  </si>
  <si>
    <t>Крепёж</t>
  </si>
  <si>
    <t>компл</t>
  </si>
  <si>
    <t>Проклад</t>
  </si>
  <si>
    <t>Арматура</t>
  </si>
  <si>
    <t>труба</t>
  </si>
  <si>
    <t>себест</t>
  </si>
  <si>
    <t>трудоём-ть</t>
  </si>
  <si>
    <t>Силумин</t>
  </si>
  <si>
    <t>курс евро</t>
  </si>
  <si>
    <t>Крышка алюминиевая</t>
  </si>
  <si>
    <t>Амортизатор крышки</t>
  </si>
  <si>
    <t>Уголок крепления амортизатора</t>
  </si>
  <si>
    <t>Шайба  М16</t>
  </si>
  <si>
    <t>работа</t>
  </si>
  <si>
    <t>Vраб, м³</t>
  </si>
  <si>
    <t>min глубина погружения</t>
  </si>
  <si>
    <t>курс евро ЦБ</t>
  </si>
  <si>
    <t xml:space="preserve">                                     </t>
  </si>
  <si>
    <t>Санкт-Петербург</t>
  </si>
  <si>
    <t>вкл/час</t>
  </si>
  <si>
    <t>рабочих</t>
  </si>
  <si>
    <t>Скорость на выходе</t>
  </si>
  <si>
    <t>корпус</t>
  </si>
  <si>
    <t>лестница</t>
  </si>
  <si>
    <t>Площадка под насосы</t>
  </si>
  <si>
    <t>Курс</t>
  </si>
  <si>
    <t>Изменение</t>
  </si>
  <si>
    <t>Код</t>
  </si>
  <si>
    <t>Валюта</t>
  </si>
  <si>
    <t>AUD</t>
  </si>
  <si>
    <t>Австралийский доллар</t>
  </si>
  <si>
    <t>AZN</t>
  </si>
  <si>
    <t>Азербайджанский манат</t>
  </si>
  <si>
    <t>AMD</t>
  </si>
  <si>
    <t>Армянский драм</t>
  </si>
  <si>
    <t>Белорусский рубль</t>
  </si>
  <si>
    <t>BGN</t>
  </si>
  <si>
    <t>Болгарский лев</t>
  </si>
  <si>
    <t>BRL</t>
  </si>
  <si>
    <t>Бразильский реал</t>
  </si>
  <si>
    <t>HUF</t>
  </si>
  <si>
    <t>Венгерский форинт</t>
  </si>
  <si>
    <t>KRW</t>
  </si>
  <si>
    <t>Вона Республики Корея</t>
  </si>
  <si>
    <t>DKK</t>
  </si>
  <si>
    <t>Датская крона</t>
  </si>
  <si>
    <t>USD</t>
  </si>
  <si>
    <t>Доллар США</t>
  </si>
  <si>
    <t>EUR</t>
  </si>
  <si>
    <t>ЕВРО</t>
  </si>
  <si>
    <t>INR</t>
  </si>
  <si>
    <t>Индийская рупия</t>
  </si>
  <si>
    <t>KZT</t>
  </si>
  <si>
    <t>Казахстанский тенге</t>
  </si>
  <si>
    <t>CAD</t>
  </si>
  <si>
    <t>Канадский доллар</t>
  </si>
  <si>
    <t>KGS</t>
  </si>
  <si>
    <t>Киргизский сом</t>
  </si>
  <si>
    <t>CNY</t>
  </si>
  <si>
    <t>Китайский юань Жэньминьби</t>
  </si>
  <si>
    <t>MDL</t>
  </si>
  <si>
    <t>Молдавский лей</t>
  </si>
  <si>
    <t>RON</t>
  </si>
  <si>
    <t>TMT</t>
  </si>
  <si>
    <t>Новый туркменский манат</t>
  </si>
  <si>
    <t>NOK</t>
  </si>
  <si>
    <t>Норвежская крона</t>
  </si>
  <si>
    <t>PLN</t>
  </si>
  <si>
    <t>Польский злотый</t>
  </si>
  <si>
    <t>XDR</t>
  </si>
  <si>
    <t>СДР (спец. прав заим-я)</t>
  </si>
  <si>
    <t>SGD</t>
  </si>
  <si>
    <t>Сингапурский доллар</t>
  </si>
  <si>
    <t>TJS</t>
  </si>
  <si>
    <t>Таджикский сомони</t>
  </si>
  <si>
    <t>TRY</t>
  </si>
  <si>
    <t>Турецкая лира</t>
  </si>
  <si>
    <t>UZS</t>
  </si>
  <si>
    <t>Узбекский сум</t>
  </si>
  <si>
    <t>UAH</t>
  </si>
  <si>
    <t>Украинская гривна</t>
  </si>
  <si>
    <t>GBP</t>
  </si>
  <si>
    <t>Фунт стерлингов</t>
  </si>
  <si>
    <t>CZK</t>
  </si>
  <si>
    <t>Чешская крона</t>
  </si>
  <si>
    <t>SEK</t>
  </si>
  <si>
    <t>Шведская крона</t>
  </si>
  <si>
    <t>CHF</t>
  </si>
  <si>
    <t>Швейцарский франк</t>
  </si>
  <si>
    <t>ZAR</t>
  </si>
  <si>
    <t>Южноафриканский рэнд</t>
  </si>
  <si>
    <t>JPY</t>
  </si>
  <si>
    <t>Японская йена</t>
  </si>
  <si>
    <t>номер КП</t>
  </si>
  <si>
    <t>шибер</t>
  </si>
  <si>
    <t>Шиберный затвор</t>
  </si>
  <si>
    <t>Шибер</t>
  </si>
  <si>
    <t>задвижек</t>
  </si>
  <si>
    <t>напорных</t>
  </si>
  <si>
    <t>Цепи насосов</t>
  </si>
  <si>
    <t>⌀</t>
  </si>
  <si>
    <t>ООО ГК "АкваТехнологии"</t>
  </si>
  <si>
    <t>ООО "Эко-Трейд"</t>
  </si>
  <si>
    <t>ООО "АкваТехМонтаж"</t>
  </si>
  <si>
    <t>ООО "Глобус"</t>
  </si>
  <si>
    <t>ООО "Водресурс"</t>
  </si>
  <si>
    <t>ООО "Гидротехнологии"</t>
  </si>
  <si>
    <t>Дилер</t>
  </si>
  <si>
    <t>%</t>
  </si>
  <si>
    <t>ООО "СМиТ"</t>
  </si>
  <si>
    <t>ООО "ВЕССЕЛ"</t>
  </si>
  <si>
    <t>ООО "АТМ"</t>
  </si>
  <si>
    <t>ООО "Аквинокс"</t>
  </si>
  <si>
    <t>ООО "Альпина-Сервис"</t>
  </si>
  <si>
    <t>Ростов-на-Дону</t>
  </si>
  <si>
    <t>Краснодар</t>
  </si>
  <si>
    <t>+7 (918) 969-08-35</t>
  </si>
  <si>
    <t>Денис Мекешкин</t>
  </si>
  <si>
    <t>Артем Кузнецов</t>
  </si>
  <si>
    <t>Тимур Юсупов</t>
  </si>
  <si>
    <t>Тимур Калимуллин</t>
  </si>
  <si>
    <t>Алексей Кузнецов</t>
  </si>
  <si>
    <t>Григорий Сабуров</t>
  </si>
  <si>
    <t>Денис Виноградов</t>
  </si>
  <si>
    <t>Моб.</t>
  </si>
  <si>
    <t>+7 (911) 247-04-09</t>
  </si>
  <si>
    <t>+7 (921) 966-18-18</t>
  </si>
  <si>
    <t>+7 (911) 006-74-32</t>
  </si>
  <si>
    <t>+7 (921) 935-67-90</t>
  </si>
  <si>
    <t>Сергей Журавлев</t>
  </si>
  <si>
    <t>+7 (965) 078-05-91</t>
  </si>
  <si>
    <t>+7 (911) 925-95-54</t>
  </si>
  <si>
    <t>+7 (921) 439-49-39</t>
  </si>
  <si>
    <t>+7 (921) 941-64-61</t>
  </si>
  <si>
    <t>Михаил Михатайкин</t>
  </si>
  <si>
    <t>+7 (911) 826-13-66</t>
  </si>
  <si>
    <t>ООО ТД "Элита"</t>
  </si>
  <si>
    <t>ООО "ЭКОВОД"</t>
  </si>
  <si>
    <t>Мария Гордеева</t>
  </si>
  <si>
    <t>ООО "Баурама"</t>
  </si>
  <si>
    <t>Виктор Панфилов</t>
  </si>
  <si>
    <t>+7 (912) 771-71-76</t>
  </si>
  <si>
    <t>Евгений Гордиенко</t>
  </si>
  <si>
    <t>ООО "ЭкоПромСервис"</t>
  </si>
  <si>
    <t>Константин Австриевских</t>
  </si>
  <si>
    <t>ООО "Арматех"</t>
  </si>
  <si>
    <t>Колпино</t>
  </si>
  <si>
    <t>Алексей Райгородский</t>
  </si>
  <si>
    <t>+7 (911) 963-65-60</t>
  </si>
  <si>
    <t>ООО "OLEXORM"</t>
  </si>
  <si>
    <t>Вячеслав Олексенко</t>
  </si>
  <si>
    <t>+7 (911) 100-33-13</t>
  </si>
  <si>
    <t>ООО "ТехникУмГрупп"</t>
  </si>
  <si>
    <t>Олег Рогозин</t>
  </si>
  <si>
    <t>+7 (911) 712-18-62</t>
  </si>
  <si>
    <t>Для фиксации стоимости на день расчета КП, сохранить pdf файл старницы с КП.</t>
  </si>
  <si>
    <t xml:space="preserve">               DN</t>
  </si>
  <si>
    <t>Утепление</t>
  </si>
  <si>
    <t>Вход</t>
  </si>
  <si>
    <t>ООО "Икапласт"</t>
  </si>
  <si>
    <t>Денис Усеинов</t>
  </si>
  <si>
    <t>+7 (911) 199-42-61</t>
  </si>
  <si>
    <t>+7 (903) 402-16-86</t>
  </si>
  <si>
    <t>х</t>
  </si>
  <si>
    <t>ООО "Анокс"</t>
  </si>
  <si>
    <t>Москва</t>
  </si>
  <si>
    <t>Оксана</t>
  </si>
  <si>
    <t>+7 (925) 517-53-50</t>
  </si>
  <si>
    <t>ООО "Спецчугунстрой"</t>
  </si>
  <si>
    <t>Виктор Трубачёв</t>
  </si>
  <si>
    <t>+7 (902) 244-78-00</t>
  </si>
  <si>
    <t>ООО "Группа Компаний "ВАЛТЕКС"</t>
  </si>
  <si>
    <t>Алексей Власов</t>
  </si>
  <si>
    <t>+7 (911) 919-14-14</t>
  </si>
  <si>
    <t>действительна до</t>
  </si>
  <si>
    <t>сегодня</t>
  </si>
  <si>
    <t>ИЦ "Аквафор-Онего"</t>
  </si>
  <si>
    <t>Владимир Абрамов</t>
  </si>
  <si>
    <t>+7 (963) 744-33-99</t>
  </si>
  <si>
    <t>₽</t>
  </si>
  <si>
    <t>Цепи оцинк. насосы, м</t>
  </si>
  <si>
    <t>ООО "Сантехмонтаж Северо-Запад"</t>
  </si>
  <si>
    <t>Екатерина Потапова</t>
  </si>
  <si>
    <t>+7 (812) 490-74-04</t>
  </si>
  <si>
    <t>АВР</t>
  </si>
  <si>
    <t>BYN</t>
  </si>
  <si>
    <t>КНС</t>
  </si>
  <si>
    <t>ПНС</t>
  </si>
  <si>
    <t>КДР</t>
  </si>
  <si>
    <t>КШУ</t>
  </si>
  <si>
    <t>КУУ</t>
  </si>
  <si>
    <t>F2</t>
  </si>
  <si>
    <t>Румынский лей</t>
  </si>
  <si>
    <t>Начиная с ⌀2000 ребра жесткости через каждые 700мм толщиной ⅓ толщины основного корпуса.</t>
  </si>
  <si>
    <t>ООО "АктивСток"</t>
  </si>
  <si>
    <t>Ксения</t>
  </si>
  <si>
    <t>+7 (981) 732-54-35</t>
  </si>
  <si>
    <t>01</t>
  </si>
  <si>
    <t>+7 (904) 218-74-54</t>
  </si>
  <si>
    <t>вх/вых</t>
  </si>
  <si>
    <t>Прагма</t>
  </si>
  <si>
    <t>-</t>
  </si>
  <si>
    <t>ООО "КРОНШТАДТ"</t>
  </si>
  <si>
    <t>Евгений Комягин</t>
  </si>
  <si>
    <t>+7 (906) 246 93 44</t>
  </si>
  <si>
    <t>№</t>
  </si>
  <si>
    <t>НАИМЕНОВАНИЕ</t>
  </si>
  <si>
    <t>ЦЕНА</t>
  </si>
  <si>
    <t>СУММА</t>
  </si>
  <si>
    <t>КЛИЕНТ:</t>
  </si>
  <si>
    <t>ПРЕДЛОЖЕНИЕ:</t>
  </si>
  <si>
    <t>199026, Санкт-Петербург, 20-я линия В.О., 5-7, офис 114</t>
  </si>
  <si>
    <t>Действует до:</t>
  </si>
  <si>
    <t>Офис</t>
  </si>
  <si>
    <t>Мобильный</t>
  </si>
  <si>
    <t>Контактное лицо</t>
  </si>
  <si>
    <t>Адрес</t>
  </si>
  <si>
    <t>email</t>
  </si>
  <si>
    <t>Направляющие насосов</t>
  </si>
  <si>
    <t>СУММА:</t>
  </si>
  <si>
    <t>КОММЕНТАРИЙ:</t>
  </si>
  <si>
    <t>УСЛОВИЯ ОПЛАТЫ:</t>
  </si>
  <si>
    <t>Дата составления:</t>
  </si>
  <si>
    <t>силумин</t>
  </si>
  <si>
    <t>StZn</t>
  </si>
  <si>
    <t>К-ВО</t>
  </si>
  <si>
    <t>1</t>
  </si>
  <si>
    <t>2</t>
  </si>
  <si>
    <t>3</t>
  </si>
  <si>
    <t>4</t>
  </si>
  <si>
    <t>6</t>
  </si>
  <si>
    <t>7</t>
  </si>
  <si>
    <t>8</t>
  </si>
  <si>
    <t>9</t>
  </si>
  <si>
    <t>10</t>
  </si>
  <si>
    <t>11</t>
  </si>
  <si>
    <t>12</t>
  </si>
  <si>
    <t>13</t>
  </si>
  <si>
    <t>14</t>
  </si>
  <si>
    <t>15</t>
  </si>
  <si>
    <t>16</t>
  </si>
  <si>
    <t>17</t>
  </si>
  <si>
    <t>стеклопластиковая</t>
  </si>
  <si>
    <t>Крышка</t>
  </si>
  <si>
    <t>установка под дорогу</t>
  </si>
  <si>
    <t>Анкер</t>
  </si>
  <si>
    <t>Напор насоса:</t>
  </si>
  <si>
    <t>Напор на выходе КНС:</t>
  </si>
  <si>
    <t>ПРЕДОПЛ:</t>
  </si>
  <si>
    <t>2ПЛАТЕЖ:</t>
  </si>
  <si>
    <t>3ПЛАТЕЖ:</t>
  </si>
  <si>
    <t>УСЛУГИ:</t>
  </si>
  <si>
    <t>198328 г. Санкт-Петербург, ул. Маршала Захарова, дом 23, литер А</t>
  </si>
  <si>
    <t>197373, г. Санкт-Петербург, ул. Планерная, д. 63, корп. 1, литер А, пом. 13-Н</t>
  </si>
  <si>
    <t xml:space="preserve">+7 (812) 386-00-46 </t>
  </si>
  <si>
    <t>akstok@mail.ru</t>
  </si>
  <si>
    <t>поручень</t>
  </si>
  <si>
    <t>150035 г.Ярославль, ул.Доронина, д.14, оф.111</t>
  </si>
  <si>
    <t>ООО "СТРОЙТЕХ ПРОФ"</t>
  </si>
  <si>
    <t>Елизавета</t>
  </si>
  <si>
    <t>+7(915) 998-40-29</t>
  </si>
  <si>
    <t>smirnova@stp76.com</t>
  </si>
  <si>
    <t>КОРПУС ПРАЙС:</t>
  </si>
  <si>
    <t>КОРПУС СКИДКА:</t>
  </si>
  <si>
    <t>КНС ИТОГО:</t>
  </si>
  <si>
    <t>г. Омск, ул. Фрунзе 49</t>
  </si>
  <si>
    <t>ООО "Омскстройпроект"</t>
  </si>
  <si>
    <t>Алексей Федоров</t>
  </si>
  <si>
    <t>+7 (3812) 281-337</t>
  </si>
  <si>
    <t>info.osp@bk.ru</t>
  </si>
  <si>
    <t>197227, г. Санкт-Петербург, ул. Байконурская, д. 21, лит. А, пом 2-Н</t>
  </si>
  <si>
    <t>+7 (812) 240-3-240</t>
  </si>
  <si>
    <t>pumps@a-t-m.ru</t>
  </si>
  <si>
    <t>+7 (812) 640-52-62</t>
  </si>
  <si>
    <t>Vinogradov@aquateh.com</t>
  </si>
  <si>
    <t>196240 г. Санкт-Петербург, Пулковское шоссе, д. 9, кор. 3, Лит. А, офис 153</t>
  </si>
  <si>
    <t>190013, Russia, Saint-Petersburg, Moskovsky Av., 22, Lit.T, BC "Admiralteysky"</t>
  </si>
  <si>
    <t>Константин Алексеев</t>
  </si>
  <si>
    <t>+7 812 670 13 07</t>
  </si>
  <si>
    <t>K.Alexeev@gsp-project.com</t>
  </si>
  <si>
    <t>+7 (911) 230-05-43</t>
  </si>
  <si>
    <t>ООО "ДжиЭсПи Прожект"</t>
  </si>
  <si>
    <t>+7 (812) 334-92-64</t>
  </si>
  <si>
    <t>saburov@ecotr.ru</t>
  </si>
  <si>
    <t>Василий Петров</t>
  </si>
  <si>
    <t>+7 (911) 811-87-02</t>
  </si>
  <si>
    <t>pvv@prg.spb.ru</t>
  </si>
  <si>
    <t>+7 (812) 7777-975</t>
  </si>
  <si>
    <t>197375, г.Санкт-Петербург, ул. Репищева д.20 лит.А, БЦ "Sky Trade"пом.№8-Н</t>
  </si>
  <si>
    <t>194044 г.Санкт-Петербург, Выборгская наб.29, офис 222</t>
  </si>
  <si>
    <t xml:space="preserve">oz@stmsz.ru </t>
  </si>
  <si>
    <t>герметичное</t>
  </si>
  <si>
    <t>198095, г. Санкт-Петербург, Митрофаньевское ш., д. 10</t>
  </si>
  <si>
    <t xml:space="preserve">+7 (812) 622-10-44 </t>
  </si>
  <si>
    <t>timur@atmgk.ru</t>
  </si>
  <si>
    <t>393190, Тамбовская обл., г. Котовск, ул. Железнодорожная, 2</t>
  </si>
  <si>
    <t>Станислав Меркулов</t>
  </si>
  <si>
    <t>+7 (906) 596-62-32</t>
  </si>
  <si>
    <t>+7 (47541) 4-58-56</t>
  </si>
  <si>
    <t>info@rz-vessel.ru</t>
  </si>
  <si>
    <t>+7 (351) 219-10-15</t>
  </si>
  <si>
    <t>gordeeva@ecovod.org</t>
  </si>
  <si>
    <t>454081, г.Челябинск, ул.Ферросплавная, д.126-А, оф. 4307</t>
  </si>
  <si>
    <t>ООО "ВЕТТИС"</t>
  </si>
  <si>
    <t>564573, Санкт-Петербург, ул. Уличная, д.52</t>
  </si>
  <si>
    <t>Александр</t>
  </si>
  <si>
    <t>+7 (812) 555-27-41</t>
  </si>
  <si>
    <t>info@vettis.ru</t>
  </si>
  <si>
    <t>+7 (952) 352-98-37</t>
  </si>
  <si>
    <t>398002, г.Липецк, ул.Тельмана, д.116</t>
  </si>
  <si>
    <t>ekoproms@mail.ru</t>
  </si>
  <si>
    <t>192286, СПб, пр. Славы, д.27А, пом. 14Н</t>
  </si>
  <si>
    <t>+7 (812) 608 92 70</t>
  </si>
  <si>
    <t>info@vodresurs.com</t>
  </si>
  <si>
    <t>Grundfos</t>
  </si>
  <si>
    <t>KSB</t>
  </si>
  <si>
    <t>WILO</t>
  </si>
  <si>
    <t>Sulser</t>
  </si>
  <si>
    <t>+7 (812) 490-74-04,05</t>
  </si>
  <si>
    <t>zakaz@akvinoks.ru</t>
  </si>
  <si>
    <r>
      <t>+7 (812) </t>
    </r>
    <r>
      <rPr>
        <sz val="11"/>
        <color rgb="FF222222"/>
        <rFont val="Calibri"/>
        <family val="2"/>
        <charset val="204"/>
        <scheme val="minor"/>
      </rPr>
      <t>925-95-54</t>
    </r>
  </si>
  <si>
    <t>197373, Санкт-Петербург, ул. Мебельная, 1, офис А20.</t>
  </si>
  <si>
    <t>вход</t>
  </si>
  <si>
    <t>выход</t>
  </si>
  <si>
    <t>иммит.расх.</t>
  </si>
  <si>
    <t>прямой пуск</t>
  </si>
  <si>
    <t>плавный пуск</t>
  </si>
  <si>
    <t>частотный преобразователь</t>
  </si>
  <si>
    <t>Откачка</t>
  </si>
  <si>
    <t>Взмучивание</t>
  </si>
  <si>
    <t>ограждение</t>
  </si>
  <si>
    <t>Коэф корпуса</t>
  </si>
  <si>
    <t>+7 (8442) 41-47-47</t>
  </si>
  <si>
    <t>+7 (937) 560-03-27</t>
  </si>
  <si>
    <t>Наталья Потапова</t>
  </si>
  <si>
    <t>uniservisvlg@mail.ru</t>
  </si>
  <si>
    <t>400002 г.Волгоград, ул.Рабочая, д.6</t>
  </si>
  <si>
    <t>ООО ТД "Юнипласт"</t>
  </si>
  <si>
    <t>рама дна</t>
  </si>
  <si>
    <t>Корсис</t>
  </si>
  <si>
    <t xml:space="preserve">Утепление </t>
  </si>
  <si>
    <t>Напорная труба</t>
  </si>
  <si>
    <t>Крепеж:</t>
  </si>
  <si>
    <t>ПВХ</t>
  </si>
  <si>
    <t>мощность одного насоса</t>
  </si>
  <si>
    <t>Общий расход КНС:</t>
  </si>
  <si>
    <t>трубопровод</t>
  </si>
  <si>
    <t>корзина/ пл насосы /армат</t>
  </si>
  <si>
    <t>установка под газон</t>
  </si>
  <si>
    <t>ООО "Петроплан Инжиниринг"</t>
  </si>
  <si>
    <t>197341, Коломяжский пр. 33, Санкт-Петербург, Россия</t>
  </si>
  <si>
    <t>Александр Спичихин</t>
  </si>
  <si>
    <t>spichihin@petroplan.ru</t>
  </si>
  <si>
    <t>+7(812) 633-03-43 (44)</t>
  </si>
  <si>
    <t>масса одного насоса, кг</t>
  </si>
  <si>
    <t>432035, Ульяновская область, город Ульяновск, Декоративная улица, 10</t>
  </si>
  <si>
    <t>vik.ul69@mail.ru</t>
  </si>
  <si>
    <t>+7 (902) 001-86-63</t>
  </si>
  <si>
    <t>решетка безопасности</t>
  </si>
  <si>
    <t>Россия, Санкт-Петербург, 193079, Октябрьская набережная,д. 104, корп. 29</t>
  </si>
  <si>
    <t>+7 812 677 21 33</t>
  </si>
  <si>
    <t>denis@icaplast.ru </t>
  </si>
  <si>
    <t>Измельчитель</t>
  </si>
  <si>
    <t>Станция повышения давления (СПД)</t>
  </si>
  <si>
    <t>Система автоматической трубной муфты</t>
  </si>
  <si>
    <t>Защитная кассета AISI304</t>
  </si>
  <si>
    <t>Расходомер</t>
  </si>
  <si>
    <t>Комплект перфорированных реек</t>
  </si>
  <si>
    <t>Комплект перфорированных кабельканалов</t>
  </si>
  <si>
    <t>Дренажный насос</t>
  </si>
  <si>
    <t>Доставка</t>
  </si>
  <si>
    <t xml:space="preserve">Внутренняя обвязка </t>
  </si>
  <si>
    <t>Внутренняя обвязка, виброкомпенсатор, запорная арматура</t>
  </si>
  <si>
    <t>Flygt</t>
  </si>
  <si>
    <t>HKD</t>
  </si>
  <si>
    <t>Гонконгский доллар</t>
  </si>
  <si>
    <t>КШБ</t>
  </si>
  <si>
    <t>Электропривод затвора</t>
  </si>
  <si>
    <t>195248 Санкт-Петербург, Уманский пер. 68-4-лит.А</t>
  </si>
  <si>
    <t>Сергей Воробьев</t>
  </si>
  <si>
    <t>+7 (911) 921-36-69</t>
  </si>
  <si>
    <t>+7 (812) 777-03-30</t>
  </si>
  <si>
    <t>Sergey.Vorobyov@hawle-sevkom.ru</t>
  </si>
  <si>
    <t>ООО "Хавле-Севком"</t>
  </si>
  <si>
    <t>Ирина Тупякова</t>
  </si>
  <si>
    <t>+7 (911) 986-30-20</t>
  </si>
  <si>
    <t>+7 (812) 702-42-42</t>
  </si>
  <si>
    <t xml:space="preserve">I.Tupyakova@elitacompany.ru </t>
  </si>
  <si>
    <t>себестоим</t>
  </si>
  <si>
    <t>прайс</t>
  </si>
  <si>
    <t>наценка</t>
  </si>
  <si>
    <t>ООО "Инженерная Экология"</t>
  </si>
  <si>
    <t>Сергей Андреев</t>
  </si>
  <si>
    <t>+7 (965) 212-06-17</t>
  </si>
  <si>
    <t>s.andreev@eng-eco.ru</t>
  </si>
  <si>
    <t>г. Москва, ул. Подольских Курсантов, д. 3, стр. 2</t>
  </si>
  <si>
    <t>пуск звезда/треугольник</t>
  </si>
  <si>
    <t>М20×200</t>
  </si>
  <si>
    <t>ПРИМЕЧАНИЕ:</t>
  </si>
  <si>
    <t xml:space="preserve">КП действительно в течении 30 дней. В случае изменения курса евро с момента выставления КП более чем на 2 рубля, требуется обновление КП.
</t>
  </si>
  <si>
    <t>1330</t>
  </si>
  <si>
    <t>включая НДС 20% :</t>
  </si>
  <si>
    <t>М16×125</t>
  </si>
  <si>
    <t>Дополнительно:</t>
  </si>
  <si>
    <t>Рама под дробилку</t>
  </si>
  <si>
    <t>кол-во</t>
  </si>
  <si>
    <t>цена с НДС</t>
  </si>
  <si>
    <t>Поплавковые выключатели с кабелем10м</t>
  </si>
  <si>
    <t>Взмучиватель осадка DN40 с задвижкой DN40</t>
  </si>
  <si>
    <t>толщ.у основания</t>
  </si>
  <si>
    <t>Решетка безопасности</t>
  </si>
  <si>
    <t>горловина</t>
  </si>
  <si>
    <t>ОАО "Промэнерго"</t>
  </si>
  <si>
    <t>Икапласт</t>
  </si>
  <si>
    <t>Поплавковые выключатели с кабелем 10м</t>
  </si>
  <si>
    <t xml:space="preserve">Гильза </t>
  </si>
  <si>
    <t>цена</t>
  </si>
  <si>
    <t>OD/ID 110/96</t>
  </si>
  <si>
    <t>OD/ID 160/139</t>
  </si>
  <si>
    <t>OD/ID 225/200</t>
  </si>
  <si>
    <t>OD/ID 285/250</t>
  </si>
  <si>
    <t>OD/ID 315/275</t>
  </si>
  <si>
    <t>OD/ID 110/94</t>
  </si>
  <si>
    <t>OD/ID 160/136</t>
  </si>
  <si>
    <t>OD/ID 200/171</t>
  </si>
  <si>
    <t>OD/ID 250/213</t>
  </si>
  <si>
    <t>OD/ID 315/271</t>
  </si>
  <si>
    <t>OD/ID 400/343</t>
  </si>
  <si>
    <t>OD/ID 500/430</t>
  </si>
  <si>
    <t>OD/ID 630/535</t>
  </si>
  <si>
    <t>OD/ID 250/217</t>
  </si>
  <si>
    <t>OD/ID 340/300</t>
  </si>
  <si>
    <t>OD/ID 400/348</t>
  </si>
  <si>
    <t>OD/ID 500/432</t>
  </si>
  <si>
    <t>OD/ID 630/542</t>
  </si>
  <si>
    <t>OD 110</t>
  </si>
  <si>
    <t>OD 160</t>
  </si>
  <si>
    <t>OD 200</t>
  </si>
  <si>
    <t>OD 315</t>
  </si>
  <si>
    <t>OD 400</t>
  </si>
  <si>
    <t>OD 500</t>
  </si>
  <si>
    <t>ID 250</t>
  </si>
  <si>
    <t>ID 315</t>
  </si>
  <si>
    <t>ID 400</t>
  </si>
  <si>
    <t>ID 500</t>
  </si>
  <si>
    <t>ID 600</t>
  </si>
  <si>
    <t>ID 700</t>
  </si>
  <si>
    <t>ID 900</t>
  </si>
  <si>
    <t>ID 1100</t>
  </si>
  <si>
    <t>Демонтажная вставка</t>
  </si>
  <si>
    <t>Труба40х20х2</t>
  </si>
  <si>
    <t>Корзина</t>
  </si>
  <si>
    <t>Сетка 25Х25</t>
  </si>
  <si>
    <t>Труба15х15х1</t>
  </si>
  <si>
    <t>Сетка 50х50</t>
  </si>
  <si>
    <t xml:space="preserve">Трубопровод </t>
  </si>
  <si>
    <t>ID 160</t>
  </si>
  <si>
    <t>ID 200</t>
  </si>
  <si>
    <t>Улица</t>
  </si>
  <si>
    <t>Рама площадки обслуживания</t>
  </si>
  <si>
    <t>Прагма, муфта</t>
  </si>
  <si>
    <t>АТМ</t>
  </si>
  <si>
    <t>Расходомер DN 250</t>
  </si>
  <si>
    <t xml:space="preserve">Насос погружной </t>
  </si>
  <si>
    <t>UNILIFT CC 5 A1-131,58 евро</t>
  </si>
  <si>
    <t>UNILIFT CC 9 A1-196,86 евро ( с  поплавком )</t>
  </si>
  <si>
    <t>UNILIFT CC 9 M1-185,64 евро  ( без поплавка)</t>
  </si>
  <si>
    <t xml:space="preserve">вход цена </t>
  </si>
  <si>
    <t>UNILIFT KP 250-AV1-249.90 евро с НДС</t>
  </si>
  <si>
    <t>ООО ГК «НЕПТУН ПЛАСТ»</t>
  </si>
  <si>
    <t xml:space="preserve">        Ленинградская область, г. Гатчина,</t>
  </si>
  <si>
    <r>
      <t>www.neptun-plast.ru</t>
    </r>
    <r>
      <rPr>
        <sz val="10"/>
        <color theme="1"/>
        <rFont val="Calibri"/>
        <family val="2"/>
        <charset val="204"/>
        <scheme val="minor"/>
      </rPr>
      <t xml:space="preserve"> </t>
    </r>
    <r>
      <rPr>
        <sz val="10"/>
        <color rgb="FFAD1F1F"/>
        <rFont val="Calibri"/>
        <family val="2"/>
        <charset val="204"/>
        <scheme val="minor"/>
      </rPr>
      <t>neptunplast@mail.ru</t>
    </r>
  </si>
  <si>
    <t xml:space="preserve"> </t>
  </si>
  <si>
    <t>www.neptun-plast.ru neptunplast@mail.ru</t>
  </si>
  <si>
    <t xml:space="preserve">  </t>
  </si>
  <si>
    <t xml:space="preserve">      Тел.; +7(900)635-32-42</t>
  </si>
  <si>
    <t>ИНН 705071086 КПП 470501001</t>
  </si>
  <si>
    <t>1 000</t>
  </si>
  <si>
    <t>10 000</t>
  </si>
  <si>
    <t>ЦБ РФ - Банк России - курсы всех валют на 13 октября 2020 года</t>
  </si>
  <si>
    <t>+0,3203</t>
  </si>
  <si>
    <t>-0,0027</t>
  </si>
  <si>
    <t>-0,0186</t>
  </si>
  <si>
    <t>+0,3470</t>
  </si>
  <si>
    <t>+0,0730</t>
  </si>
  <si>
    <t>+0,1690</t>
  </si>
  <si>
    <t>+0,0821</t>
  </si>
  <si>
    <t>-0,1788</t>
  </si>
  <si>
    <t>-0,0058</t>
  </si>
  <si>
    <t>+0,0189</t>
  </si>
  <si>
    <t>-0,0045</t>
  </si>
  <si>
    <t>+0,2874</t>
  </si>
  <si>
    <t>-0,0181</t>
  </si>
  <si>
    <t>-0,0263</t>
  </si>
  <si>
    <t>+0,1792</t>
  </si>
  <si>
    <t>-0,0056</t>
  </si>
  <si>
    <t>-0,0424</t>
  </si>
  <si>
    <t>-0,0228</t>
  </si>
  <si>
    <t>-0,0013</t>
  </si>
  <si>
    <t>+0,0208</t>
  </si>
  <si>
    <t>+0,0278</t>
  </si>
  <si>
    <t>+0,2316</t>
  </si>
  <si>
    <t>56,84</t>
  </si>
  <si>
    <t>+0,0428</t>
  </si>
  <si>
    <t>-0,0043</t>
  </si>
  <si>
    <t>+0,4902</t>
  </si>
  <si>
    <t>-0,0044</t>
  </si>
  <si>
    <t>-0,0264</t>
  </si>
  <si>
    <t>+0,6565</t>
  </si>
  <si>
    <t>+0,1287</t>
  </si>
  <si>
    <t>+0,5571</t>
  </si>
  <si>
    <t>+0,2355</t>
  </si>
  <si>
    <t>-0,0920</t>
  </si>
  <si>
    <t>+0,1922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</si>
</sst>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quot;р.&quot;"/>
    <numFmt numFmtId="165" formatCode="#,##0.00_р_."/>
    <numFmt numFmtId="166" formatCode="#,##0.00&quot;р.&quot;"/>
    <numFmt numFmtId="167" formatCode="0.0000"/>
    <numFmt numFmtId="168" formatCode="#,##0_р_."/>
    <numFmt numFmtId="169" formatCode="#,##0.00\ [$€-1]"/>
    <numFmt numFmtId="170" formatCode="#,##0.00\ _₽"/>
    <numFmt numFmtId="171" formatCode="[$-1045C]yy/mm/dd;@"/>
    <numFmt numFmtId="172" formatCode="#,##0.00\ &quot;₽&quot;"/>
    <numFmt numFmtId="173" formatCode="0.00000"/>
  </numFmts>
  <fonts count="59">
    <font>
      <sz val="11"/>
      <color theme="1"/>
      <name val="Calibri"/>
      <family val="2"/>
      <charset val="204"/>
      <scheme val="minor"/>
    </font>
    <font>
      <sz val="11"/>
      <color theme="1"/>
      <name val="Hattori Hanzo"/>
      <family val="3"/>
    </font>
    <font>
      <sz val="10"/>
      <color theme="1"/>
      <name val="Hattori Hanzo"/>
      <family val="3"/>
    </font>
    <font>
      <b/>
      <sz val="11"/>
      <color theme="1"/>
      <name val="Hattori Hanzo"/>
      <family val="3"/>
    </font>
    <font>
      <sz val="26"/>
      <color theme="1"/>
      <name val="Hattori Hanzo"/>
      <family val="3"/>
    </font>
    <font>
      <sz val="11"/>
      <color rgb="FFFF0000"/>
      <name val="Hattori Hanzo"/>
      <family val="3"/>
    </font>
    <font>
      <b/>
      <sz val="11"/>
      <color theme="1"/>
      <name val="Calibri"/>
      <family val="2"/>
      <charset val="204"/>
      <scheme val="minor"/>
    </font>
    <font>
      <sz val="10"/>
      <color rgb="FF000000"/>
      <name val="Arial"/>
      <family val="2"/>
      <charset val="204"/>
    </font>
    <font>
      <sz val="11"/>
      <color rgb="FF00B050"/>
      <name val="Calibri"/>
      <family val="2"/>
      <charset val="204"/>
      <scheme val="minor"/>
    </font>
    <font>
      <b/>
      <sz val="11"/>
      <color rgb="FFFF0000"/>
      <name val="Calibri"/>
      <family val="2"/>
      <charset val="204"/>
      <scheme val="minor"/>
    </font>
    <font>
      <b/>
      <sz val="11"/>
      <name val="Hattori Hanzo"/>
      <family val="3"/>
    </font>
    <font>
      <sz val="11"/>
      <name val="Hattori Hanzo"/>
      <family val="3"/>
    </font>
    <font>
      <b/>
      <sz val="16"/>
      <color theme="1"/>
      <name val="Hattori Hanzo"/>
      <family val="3"/>
    </font>
    <font>
      <sz val="9"/>
      <color theme="1"/>
      <name val="Hattori Hanzo"/>
      <family val="3"/>
    </font>
    <font>
      <b/>
      <sz val="18"/>
      <color theme="1"/>
      <name val="Hattori Hanzo"/>
      <family val="3"/>
    </font>
    <font>
      <sz val="18"/>
      <color theme="1"/>
      <name val="Calibri"/>
      <family val="2"/>
      <charset val="204"/>
      <scheme val="minor"/>
    </font>
    <font>
      <sz val="9"/>
      <color theme="1"/>
      <name val="Calibri"/>
      <family val="2"/>
      <charset val="204"/>
      <scheme val="minor"/>
    </font>
    <font>
      <sz val="8"/>
      <name val="Calibri"/>
      <family val="2"/>
      <charset val="204"/>
      <scheme val="minor"/>
    </font>
    <font>
      <sz val="11"/>
      <color rgb="FF92D050"/>
      <name val="Calibri"/>
      <family val="2"/>
      <charset val="204"/>
      <scheme val="minor"/>
    </font>
    <font>
      <sz val="10"/>
      <color rgb="FF222222"/>
      <name val="Arial"/>
      <family val="2"/>
      <charset val="204"/>
    </font>
    <font>
      <b/>
      <sz val="11"/>
      <color rgb="FFFF0000"/>
      <name val="Hattori Hanzo"/>
      <family val="3"/>
    </font>
    <font>
      <b/>
      <sz val="10"/>
      <color rgb="FF333333"/>
      <name val="Arial"/>
      <family val="2"/>
      <charset val="204"/>
    </font>
    <font>
      <b/>
      <sz val="11"/>
      <name val="Calibri"/>
      <family val="2"/>
      <charset val="204"/>
      <scheme val="minor"/>
    </font>
    <font>
      <sz val="11"/>
      <color rgb="FFFF0000"/>
      <name val="Calibri"/>
      <family val="2"/>
      <charset val="204"/>
      <scheme val="minor"/>
    </font>
    <font>
      <b/>
      <sz val="10"/>
      <color theme="1"/>
      <name val="Arial"/>
      <family val="2"/>
      <charset val="204"/>
    </font>
    <font>
      <sz val="10"/>
      <color theme="1"/>
      <name val="Arial"/>
      <family val="2"/>
      <charset val="204"/>
    </font>
    <font>
      <sz val="9"/>
      <color rgb="FF0070C0"/>
      <name val="Hattori Hanzo"/>
      <family val="3"/>
    </font>
    <font>
      <sz val="9"/>
      <color rgb="FFFF0000"/>
      <name val="Hattori Hanzo"/>
      <family val="3"/>
    </font>
    <font>
      <b/>
      <sz val="10"/>
      <color rgb="FF000000"/>
      <name val="Arial"/>
      <family val="2"/>
      <charset val="204"/>
    </font>
    <font>
      <sz val="11"/>
      <color theme="1"/>
      <name val="Trebuchet MS"/>
      <family val="2"/>
      <charset val="204"/>
    </font>
    <font>
      <sz val="9"/>
      <name val="Trebuchet MS"/>
      <family val="2"/>
      <charset val="204"/>
    </font>
    <font>
      <sz val="9"/>
      <name val="Arial"/>
      <family val="2"/>
      <charset val="204"/>
    </font>
    <font>
      <b/>
      <sz val="11"/>
      <color theme="0"/>
      <name val="Calibri"/>
      <family val="2"/>
      <charset val="204"/>
      <scheme val="minor"/>
    </font>
    <font>
      <sz val="11"/>
      <color rgb="FF222222"/>
      <name val="Calibri"/>
      <family val="2"/>
      <charset val="204"/>
      <scheme val="minor"/>
    </font>
    <font>
      <sz val="10"/>
      <color theme="1"/>
      <name val="Calibri"/>
      <family val="2"/>
      <charset val="204"/>
      <scheme val="minor"/>
    </font>
    <font>
      <sz val="10"/>
      <name val="Hattori Hanzo"/>
      <family val="3"/>
    </font>
    <font>
      <i/>
      <sz val="9"/>
      <color theme="1"/>
      <name val="Hattori Hanzo"/>
      <family val="3"/>
    </font>
    <font>
      <i/>
      <sz val="11"/>
      <name val="Hattori Hanzo"/>
      <family val="3"/>
    </font>
    <font>
      <b/>
      <sz val="24"/>
      <color theme="0"/>
      <name val="Bookman Old Style"/>
      <family val="1"/>
      <charset val="204"/>
    </font>
    <font>
      <i/>
      <sz val="9"/>
      <color rgb="FF92D050"/>
      <name val="Hattori Hanzo"/>
      <family val="3"/>
    </font>
    <font>
      <i/>
      <sz val="11"/>
      <color rgb="FF00B050"/>
      <name val="Hattori Hanzo"/>
      <family val="3"/>
    </font>
    <font>
      <i/>
      <sz val="10"/>
      <color rgb="FF00B050"/>
      <name val="Hattori Hanzo"/>
      <family val="3"/>
    </font>
    <font>
      <i/>
      <sz val="10"/>
      <name val="Hattori Hanzo"/>
      <family val="3"/>
    </font>
    <font>
      <b/>
      <sz val="11"/>
      <color rgb="FF3F3F3F"/>
      <name val="Calibri"/>
      <family val="2"/>
      <charset val="204"/>
      <scheme val="minor"/>
    </font>
    <font>
      <b/>
      <sz val="9"/>
      <color theme="1"/>
      <name val="Hattori Hanzo"/>
      <family val="3"/>
    </font>
    <font>
      <sz val="11"/>
      <color rgb="FF9C0006"/>
      <name val="Calibri"/>
      <family val="2"/>
      <charset val="204"/>
      <scheme val="minor"/>
    </font>
    <font>
      <u/>
      <sz val="11"/>
      <color theme="10"/>
      <name val="Calibri"/>
      <family val="2"/>
      <charset val="204"/>
      <scheme val="minor"/>
    </font>
    <font>
      <sz val="11"/>
      <color rgb="FF0070C0"/>
      <name val="Hattori Hanzo"/>
      <family val="3"/>
    </font>
    <font>
      <i/>
      <sz val="11"/>
      <color theme="3"/>
      <name val="Hattori Hanzo"/>
      <family val="3"/>
    </font>
    <font>
      <sz val="11"/>
      <color rgb="FF006100"/>
      <name val="Calibri"/>
      <family val="2"/>
      <charset val="204"/>
      <scheme val="minor"/>
    </font>
    <font>
      <sz val="11"/>
      <color rgb="FF00B050"/>
      <name val="Hattori Hanzo"/>
      <family val="3"/>
    </font>
    <font>
      <b/>
      <sz val="11"/>
      <color rgb="FF00B050"/>
      <name val="Hattori Hanzo"/>
      <family val="3"/>
    </font>
    <font>
      <b/>
      <sz val="10"/>
      <color theme="3"/>
      <name val="Hattori Hanzo"/>
      <family val="3"/>
    </font>
    <font>
      <sz val="11"/>
      <color theme="3"/>
      <name val="Hattori Hanzo"/>
      <family val="3"/>
    </font>
    <font>
      <sz val="12"/>
      <color rgb="FF222222"/>
      <name val="Arial"/>
      <family val="2"/>
      <charset val="204"/>
    </font>
    <font>
      <b/>
      <i/>
      <sz val="10"/>
      <color theme="1"/>
      <name val="Calibri"/>
      <family val="2"/>
      <charset val="204"/>
      <scheme val="minor"/>
    </font>
    <font>
      <sz val="10"/>
      <color theme="1"/>
      <name val="Trebuchet MS"/>
      <family val="2"/>
      <charset val="204"/>
    </font>
    <font>
      <sz val="10"/>
      <color rgb="FFAD1F1F"/>
      <name val="Calibri"/>
      <family val="2"/>
      <charset val="204"/>
      <scheme val="minor"/>
    </font>
    <font>
      <b/>
      <sz val="12"/>
      <color theme="1"/>
      <name val="Calibri"/>
      <family val="2"/>
      <charset val="204"/>
      <scheme val="minor"/>
    </font>
  </fonts>
  <fills count="9">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rgb="FFF2F2F2"/>
      </patternFill>
    </fill>
    <fill>
      <patternFill patternType="solid">
        <fgColor rgb="FFFFC7CE"/>
      </patternFill>
    </fill>
    <fill>
      <patternFill patternType="solid">
        <fgColor rgb="FFC6EFCE"/>
      </patternFill>
    </fill>
  </fills>
  <borders count="4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right style="medium">
        <color auto="1"/>
      </right>
      <top style="medium">
        <color auto="1"/>
      </top>
      <bottom/>
      <diagonal/>
    </border>
    <border>
      <left style="medium">
        <color indexed="64"/>
      </left>
      <right/>
      <top style="medium">
        <color indexed="64"/>
      </top>
      <bottom style="thin">
        <color auto="1"/>
      </bottom>
      <diagonal/>
    </border>
    <border>
      <left/>
      <right style="thin">
        <color auto="1"/>
      </right>
      <top style="medium">
        <color indexed="64"/>
      </top>
      <bottom style="medium">
        <color indexed="64"/>
      </bottom>
      <diagonal/>
    </border>
    <border>
      <left/>
      <right/>
      <top style="medium">
        <color indexed="64"/>
      </top>
      <bottom style="thin">
        <color auto="1"/>
      </bottom>
      <diagonal/>
    </border>
    <border>
      <left style="thin">
        <color auto="1"/>
      </left>
      <right/>
      <top style="medium">
        <color indexed="64"/>
      </top>
      <bottom style="medium">
        <color indexed="64"/>
      </bottom>
      <diagonal/>
    </border>
    <border>
      <left/>
      <right/>
      <top/>
      <bottom style="medium">
        <color indexed="64"/>
      </bottom>
      <diagonal/>
    </border>
    <border>
      <left/>
      <right/>
      <top/>
      <bottom style="thick">
        <color theme="0"/>
      </bottom>
      <diagonal/>
    </border>
    <border>
      <left/>
      <right/>
      <top style="thin">
        <color theme="0"/>
      </top>
      <bottom style="thin">
        <color theme="0"/>
      </bottom>
      <diagonal/>
    </border>
    <border>
      <left/>
      <right style="medium">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medium">
        <color auto="1"/>
      </left>
      <right/>
      <top/>
      <bottom/>
      <diagonal/>
    </border>
    <border>
      <left/>
      <right/>
      <top/>
      <bottom style="thin">
        <color indexed="64"/>
      </bottom>
      <diagonal/>
    </border>
  </borders>
  <cellStyleXfs count="5">
    <xf numFmtId="0" fontId="0" fillId="0" borderId="0"/>
    <xf numFmtId="0" fontId="43" fillId="6" borderId="37" applyNumberFormat="0" applyAlignment="0" applyProtection="0"/>
    <xf numFmtId="0" fontId="45" fillId="7" borderId="0" applyNumberFormat="0" applyBorder="0" applyAlignment="0" applyProtection="0"/>
    <xf numFmtId="0" fontId="46" fillId="0" borderId="0" applyNumberFormat="0" applyFill="0" applyBorder="0" applyAlignment="0" applyProtection="0"/>
    <xf numFmtId="0" fontId="49" fillId="8" borderId="0" applyNumberFormat="0" applyBorder="0" applyAlignment="0" applyProtection="0"/>
  </cellStyleXfs>
  <cellXfs count="319">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6" fillId="0" borderId="0" xfId="0" applyFont="1"/>
    <xf numFmtId="14" fontId="9" fillId="0" borderId="0" xfId="0" applyNumberFormat="1" applyFont="1"/>
    <xf numFmtId="168" fontId="0" fillId="0" borderId="0" xfId="0" applyNumberFormat="1"/>
    <xf numFmtId="168" fontId="8" fillId="0" borderId="0" xfId="0" applyNumberFormat="1" applyFont="1"/>
    <xf numFmtId="0" fontId="12" fillId="0" borderId="0" xfId="0" applyFont="1" applyAlignment="1">
      <alignment horizontal="right"/>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xf>
    <xf numFmtId="0" fontId="1" fillId="0" borderId="16" xfId="0" applyFont="1" applyBorder="1" applyAlignment="1">
      <alignment horizontal="center"/>
    </xf>
    <xf numFmtId="0" fontId="1" fillId="0" borderId="6" xfId="0" applyFont="1" applyBorder="1"/>
    <xf numFmtId="0" fontId="1" fillId="0" borderId="7" xfId="0" applyFont="1" applyBorder="1" applyAlignment="1">
      <alignment horizontal="center"/>
    </xf>
    <xf numFmtId="0" fontId="1" fillId="0" borderId="8" xfId="0" applyFont="1" applyBorder="1"/>
    <xf numFmtId="0" fontId="1" fillId="0" borderId="8" xfId="0" applyFont="1" applyBorder="1" applyAlignment="1">
      <alignment horizontal="center"/>
    </xf>
    <xf numFmtId="0" fontId="1" fillId="0" borderId="17" xfId="0" applyFont="1" applyBorder="1" applyAlignment="1">
      <alignment horizontal="center"/>
    </xf>
    <xf numFmtId="0" fontId="1" fillId="0" borderId="9" xfId="0" applyFont="1" applyBorder="1"/>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3" fontId="0" fillId="0" borderId="0" xfId="0" applyNumberFormat="1"/>
    <xf numFmtId="49" fontId="0" fillId="0" borderId="0" xfId="0" applyNumberFormat="1"/>
    <xf numFmtId="168" fontId="23" fillId="0" borderId="0" xfId="0" applyNumberFormat="1" applyFont="1"/>
    <xf numFmtId="4" fontId="0" fillId="0" borderId="0" xfId="0" applyNumberFormat="1"/>
    <xf numFmtId="0" fontId="0" fillId="0" borderId="0" xfId="0" applyAlignment="1">
      <alignment horizontal="left"/>
    </xf>
    <xf numFmtId="0" fontId="23" fillId="0" borderId="0" xfId="0" applyFont="1" applyAlignment="1">
      <alignment horizontal="left"/>
    </xf>
    <xf numFmtId="0" fontId="19" fillId="0" borderId="0" xfId="0" applyFont="1"/>
    <xf numFmtId="0" fontId="0" fillId="0" borderId="0" xfId="0" applyProtection="1">
      <protection locked="0"/>
    </xf>
    <xf numFmtId="170" fontId="0" fillId="0" borderId="0" xfId="0" applyNumberFormat="1"/>
    <xf numFmtId="0" fontId="25" fillId="0" borderId="0" xfId="0" applyFont="1" applyAlignment="1">
      <alignment horizontal="center"/>
    </xf>
    <xf numFmtId="0" fontId="25" fillId="0" borderId="0" xfId="0" applyFont="1"/>
    <xf numFmtId="165" fontId="25" fillId="0" borderId="0" xfId="0" applyNumberFormat="1" applyFont="1" applyAlignment="1">
      <alignment horizontal="right"/>
    </xf>
    <xf numFmtId="49" fontId="0" fillId="0" borderId="0" xfId="0" applyNumberFormat="1" applyAlignment="1">
      <alignment horizontal="center"/>
    </xf>
    <xf numFmtId="0" fontId="32" fillId="2" borderId="34" xfId="0" applyFont="1"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24" fillId="0" borderId="0" xfId="0" applyFont="1" applyAlignment="1">
      <alignment horizontal="left" vertical="top"/>
    </xf>
    <xf numFmtId="0" fontId="0" fillId="0" borderId="0" xfId="0" applyAlignment="1">
      <alignment horizontal="left" vertical="center"/>
    </xf>
    <xf numFmtId="0" fontId="0" fillId="0" borderId="0" xfId="0" quotePrefix="1"/>
    <xf numFmtId="0" fontId="0" fillId="0" borderId="0" xfId="0" quotePrefix="1" applyAlignment="1">
      <alignment wrapText="1"/>
    </xf>
    <xf numFmtId="49" fontId="0" fillId="0" borderId="0" xfId="0" quotePrefix="1" applyNumberFormat="1"/>
    <xf numFmtId="0" fontId="1" fillId="5" borderId="0" xfId="0" applyFont="1" applyFill="1" applyAlignment="1">
      <alignment horizontal="center"/>
    </xf>
    <xf numFmtId="0" fontId="1" fillId="5" borderId="0" xfId="0" applyFont="1" applyFill="1"/>
    <xf numFmtId="0" fontId="3" fillId="5" borderId="0" xfId="0" applyFont="1" applyFill="1"/>
    <xf numFmtId="0" fontId="4" fillId="5" borderId="0" xfId="0" applyFont="1" applyFill="1" applyAlignment="1">
      <alignment horizontal="center" vertical="center"/>
    </xf>
    <xf numFmtId="165" fontId="1" fillId="5" borderId="0" xfId="0" applyNumberFormat="1" applyFont="1" applyFill="1"/>
    <xf numFmtId="0" fontId="1" fillId="5" borderId="0" xfId="0" applyFont="1" applyFill="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1" fillId="0" borderId="0" xfId="0" applyFont="1" applyProtection="1">
      <protection hidden="1"/>
    </xf>
    <xf numFmtId="0" fontId="1" fillId="0" borderId="0" xfId="0" applyFont="1" applyAlignment="1" applyProtection="1">
      <alignment horizontal="center"/>
      <protection hidden="1"/>
    </xf>
    <xf numFmtId="0" fontId="31" fillId="0" borderId="0" xfId="0" applyFont="1" applyAlignment="1" applyProtection="1">
      <alignment vertical="center"/>
      <protection hidden="1"/>
    </xf>
    <xf numFmtId="0" fontId="29" fillId="0" borderId="0" xfId="0" applyFont="1" applyProtection="1">
      <protection hidden="1"/>
    </xf>
    <xf numFmtId="0" fontId="30" fillId="0" borderId="0" xfId="0" applyFont="1" applyAlignment="1" applyProtection="1">
      <alignment vertical="center"/>
      <protection hidden="1"/>
    </xf>
    <xf numFmtId="0" fontId="1" fillId="0" borderId="0" xfId="0" applyFont="1" applyAlignment="1" applyProtection="1">
      <alignment vertical="center"/>
      <protection hidden="1"/>
    </xf>
    <xf numFmtId="0" fontId="24" fillId="0" borderId="0" xfId="0" applyFont="1" applyAlignment="1" applyProtection="1">
      <alignment vertical="center"/>
      <protection hidden="1"/>
    </xf>
    <xf numFmtId="0" fontId="24" fillId="0" borderId="0" xfId="0" applyFont="1" applyAlignment="1" applyProtection="1">
      <alignment horizontal="right" vertical="center"/>
      <protection hidden="1"/>
    </xf>
    <xf numFmtId="0" fontId="1" fillId="0" borderId="0" xfId="0" applyFont="1" applyAlignment="1" applyProtection="1">
      <alignment horizontal="center" vertical="center"/>
      <protection hidden="1"/>
    </xf>
    <xf numFmtId="0" fontId="25" fillId="0" borderId="0" xfId="0" applyFont="1" applyProtection="1">
      <protection hidden="1"/>
    </xf>
    <xf numFmtId="0" fontId="25" fillId="0" borderId="0" xfId="0" applyFont="1" applyAlignment="1" applyProtection="1">
      <alignment horizontal="right"/>
      <protection hidden="1"/>
    </xf>
    <xf numFmtId="14" fontId="25" fillId="0" borderId="0" xfId="0" applyNumberFormat="1" applyFont="1" applyAlignment="1" applyProtection="1">
      <alignment horizontal="right"/>
      <protection hidden="1"/>
    </xf>
    <xf numFmtId="0" fontId="28" fillId="0" borderId="33" xfId="0" applyFont="1" applyBorder="1" applyAlignment="1" applyProtection="1">
      <alignment horizontal="left" vertical="center" wrapText="1"/>
      <protection hidden="1"/>
    </xf>
    <xf numFmtId="0" fontId="28" fillId="0" borderId="33" xfId="0" applyFont="1" applyBorder="1" applyAlignment="1" applyProtection="1">
      <alignment horizontal="center" vertical="center" wrapText="1"/>
      <protection hidden="1"/>
    </xf>
    <xf numFmtId="0" fontId="28" fillId="0" borderId="33" xfId="0" applyFont="1" applyBorder="1" applyAlignment="1" applyProtection="1">
      <alignment horizontal="right" vertical="center" wrapText="1"/>
      <protection hidden="1"/>
    </xf>
    <xf numFmtId="0" fontId="25" fillId="0" borderId="0" xfId="0" applyFont="1" applyAlignment="1" applyProtection="1">
      <alignment horizontal="center"/>
      <protection hidden="1"/>
    </xf>
    <xf numFmtId="166" fontId="25" fillId="0" borderId="0" xfId="0" applyNumberFormat="1" applyFont="1" applyAlignment="1" applyProtection="1">
      <alignment horizontal="right"/>
      <protection hidden="1"/>
    </xf>
    <xf numFmtId="0" fontId="25" fillId="0" borderId="0" xfId="0" applyFont="1" applyAlignment="1" applyProtection="1">
      <alignment horizontal="center" vertical="top"/>
      <protection hidden="1"/>
    </xf>
    <xf numFmtId="4" fontId="25" fillId="0" borderId="0" xfId="0" applyNumberFormat="1" applyFont="1" applyAlignment="1" applyProtection="1">
      <alignment horizontal="right" vertical="top"/>
      <protection hidden="1"/>
    </xf>
    <xf numFmtId="4" fontId="25" fillId="0" borderId="0" xfId="0" applyNumberFormat="1" applyFont="1" applyAlignment="1" applyProtection="1">
      <alignment horizontal="center" vertical="top"/>
      <protection hidden="1"/>
    </xf>
    <xf numFmtId="4" fontId="25" fillId="0" borderId="0" xfId="0" applyNumberFormat="1" applyFont="1" applyAlignment="1" applyProtection="1">
      <alignment vertical="top"/>
      <protection hidden="1"/>
    </xf>
    <xf numFmtId="0" fontId="1" fillId="0" borderId="0" xfId="0" applyFont="1" applyAlignment="1" applyProtection="1">
      <alignment wrapText="1"/>
      <protection hidden="1"/>
    </xf>
    <xf numFmtId="0" fontId="25" fillId="0" borderId="0" xfId="0" applyFont="1" applyAlignment="1" applyProtection="1">
      <alignment vertical="top"/>
      <protection hidden="1"/>
    </xf>
    <xf numFmtId="0" fontId="25" fillId="0" borderId="33" xfId="0" applyFont="1" applyBorder="1" applyAlignment="1" applyProtection="1">
      <alignment horizontal="center" vertical="top"/>
      <protection hidden="1"/>
    </xf>
    <xf numFmtId="165" fontId="25" fillId="0" borderId="0" xfId="0" applyNumberFormat="1" applyFont="1" applyAlignment="1" applyProtection="1">
      <alignment horizontal="right"/>
      <protection hidden="1"/>
    </xf>
    <xf numFmtId="0" fontId="25" fillId="0" borderId="0" xfId="0" applyFont="1" applyAlignment="1" applyProtection="1">
      <alignment horizontal="left"/>
      <protection hidden="1"/>
    </xf>
    <xf numFmtId="172" fontId="25" fillId="0" borderId="0" xfId="0" applyNumberFormat="1" applyFont="1" applyAlignment="1" applyProtection="1">
      <alignment horizontal="right"/>
      <protection hidden="1"/>
    </xf>
    <xf numFmtId="0" fontId="24" fillId="0" borderId="0" xfId="0" applyFont="1" applyAlignment="1" applyProtection="1">
      <alignment horizontal="left"/>
      <protection hidden="1"/>
    </xf>
    <xf numFmtId="165" fontId="24" fillId="0" borderId="0" xfId="0" applyNumberFormat="1" applyFont="1" applyAlignment="1" applyProtection="1">
      <alignment horizontal="right"/>
      <protection hidden="1"/>
    </xf>
    <xf numFmtId="172" fontId="24" fillId="0" borderId="0" xfId="0" applyNumberFormat="1" applyFont="1" applyAlignment="1" applyProtection="1">
      <alignment horizontal="right"/>
      <protection hidden="1"/>
    </xf>
    <xf numFmtId="0" fontId="0" fillId="0" borderId="0" xfId="0" applyProtection="1">
      <protection hidden="1"/>
    </xf>
    <xf numFmtId="0" fontId="0" fillId="0" borderId="0" xfId="0" applyAlignment="1" applyProtection="1">
      <alignment horizontal="right"/>
      <protection hidden="1"/>
    </xf>
    <xf numFmtId="14" fontId="0" fillId="0" borderId="0" xfId="0" applyNumberFormat="1" applyProtection="1">
      <protection hidden="1"/>
    </xf>
    <xf numFmtId="0" fontId="23" fillId="0" borderId="0" xfId="0" applyFont="1" applyAlignment="1" applyProtection="1">
      <alignment horizontal="right"/>
      <protection hidden="1"/>
    </xf>
    <xf numFmtId="0" fontId="0" fillId="0" borderId="0" xfId="0" applyAlignment="1" applyProtection="1">
      <alignment horizontal="center"/>
      <protection hidden="1"/>
    </xf>
    <xf numFmtId="164" fontId="0" fillId="0" borderId="0" xfId="0" applyNumberFormat="1" applyProtection="1">
      <protection hidden="1"/>
    </xf>
    <xf numFmtId="0" fontId="0" fillId="0" borderId="10" xfId="0" applyBorder="1" applyAlignment="1" applyProtection="1">
      <alignment horizontal="right"/>
      <protection hidden="1"/>
    </xf>
    <xf numFmtId="0" fontId="1" fillId="5" borderId="0" xfId="0" applyFont="1" applyFill="1" applyAlignment="1" applyProtection="1">
      <alignment horizontal="center"/>
      <protection hidden="1"/>
    </xf>
    <xf numFmtId="0" fontId="1" fillId="5" borderId="0" xfId="0" applyFont="1" applyFill="1" applyProtection="1">
      <protection hidden="1"/>
    </xf>
    <xf numFmtId="0" fontId="3" fillId="5" borderId="0" xfId="0" applyFont="1" applyFill="1" applyAlignment="1" applyProtection="1">
      <alignment horizontal="center"/>
      <protection hidden="1"/>
    </xf>
    <xf numFmtId="0" fontId="3" fillId="5" borderId="0" xfId="0" applyFont="1" applyFill="1" applyProtection="1">
      <protection hidden="1"/>
    </xf>
    <xf numFmtId="0" fontId="3" fillId="0" borderId="23" xfId="0" applyFont="1" applyBorder="1" applyProtection="1">
      <protection hidden="1"/>
    </xf>
    <xf numFmtId="49" fontId="3" fillId="0" borderId="24" xfId="0" applyNumberFormat="1" applyFont="1" applyBorder="1" applyAlignment="1" applyProtection="1">
      <alignment horizontal="center"/>
      <protection hidden="1"/>
    </xf>
    <xf numFmtId="0" fontId="20" fillId="5" borderId="0" xfId="0" applyFont="1" applyFill="1" applyAlignment="1" applyProtection="1">
      <alignment horizontal="center"/>
      <protection hidden="1"/>
    </xf>
    <xf numFmtId="0" fontId="1" fillId="0" borderId="12" xfId="0" applyFont="1" applyBorder="1" applyProtection="1">
      <protection hidden="1"/>
    </xf>
    <xf numFmtId="171" fontId="21" fillId="0" borderId="28" xfId="0" applyNumberFormat="1" applyFont="1" applyBorder="1" applyAlignment="1" applyProtection="1">
      <alignment horizontal="center"/>
      <protection hidden="1"/>
    </xf>
    <xf numFmtId="0" fontId="1" fillId="0" borderId="4" xfId="0" applyFont="1" applyBorder="1" applyProtection="1">
      <protection hidden="1"/>
    </xf>
    <xf numFmtId="49" fontId="1" fillId="0" borderId="6" xfId="0" applyNumberFormat="1" applyFont="1" applyBorder="1" applyAlignment="1" applyProtection="1">
      <alignment horizontal="center"/>
      <protection hidden="1"/>
    </xf>
    <xf numFmtId="0" fontId="1" fillId="0" borderId="1" xfId="0" applyFont="1" applyBorder="1" applyAlignment="1" applyProtection="1">
      <alignment horizontal="center"/>
      <protection hidden="1"/>
    </xf>
    <xf numFmtId="0" fontId="1" fillId="0" borderId="2" xfId="0" applyFont="1" applyBorder="1" applyProtection="1">
      <protection hidden="1"/>
    </xf>
    <xf numFmtId="0" fontId="2" fillId="0" borderId="2" xfId="0" applyFont="1" applyBorder="1" applyAlignment="1" applyProtection="1">
      <alignment horizontal="right"/>
      <protection hidden="1"/>
    </xf>
    <xf numFmtId="0" fontId="1" fillId="0" borderId="4" xfId="0" applyFont="1" applyBorder="1" applyAlignment="1" applyProtection="1">
      <alignment horizontal="center"/>
      <protection hidden="1"/>
    </xf>
    <xf numFmtId="166" fontId="13" fillId="0" borderId="5" xfId="0" applyNumberFormat="1" applyFont="1" applyBorder="1" applyProtection="1">
      <protection hidden="1"/>
    </xf>
    <xf numFmtId="0" fontId="2" fillId="0" borderId="5" xfId="0" applyFont="1" applyBorder="1" applyAlignment="1" applyProtection="1">
      <alignment horizontal="right"/>
      <protection hidden="1"/>
    </xf>
    <xf numFmtId="0" fontId="10" fillId="0" borderId="5" xfId="0" applyFont="1" applyBorder="1" applyAlignment="1" applyProtection="1">
      <alignment horizontal="center"/>
      <protection hidden="1"/>
    </xf>
    <xf numFmtId="0" fontId="1" fillId="0" borderId="5" xfId="0" applyFont="1" applyBorder="1" applyProtection="1">
      <protection hidden="1"/>
    </xf>
    <xf numFmtId="0" fontId="1" fillId="0" borderId="6" xfId="0" applyFont="1" applyBorder="1" applyProtection="1">
      <protection hidden="1"/>
    </xf>
    <xf numFmtId="0" fontId="1" fillId="0" borderId="7" xfId="0" applyFont="1" applyBorder="1" applyProtection="1">
      <protection hidden="1"/>
    </xf>
    <xf numFmtId="49" fontId="1" fillId="0" borderId="9" xfId="0" applyNumberFormat="1" applyFont="1" applyBorder="1" applyProtection="1">
      <protection hidden="1"/>
    </xf>
    <xf numFmtId="0" fontId="11" fillId="0" borderId="5" xfId="0" applyFont="1" applyBorder="1" applyAlignment="1" applyProtection="1">
      <alignment horizontal="right"/>
      <protection hidden="1"/>
    </xf>
    <xf numFmtId="0" fontId="1" fillId="0" borderId="5" xfId="0" applyFont="1" applyBorder="1" applyAlignment="1" applyProtection="1">
      <alignment horizontal="center"/>
      <protection hidden="1"/>
    </xf>
    <xf numFmtId="0" fontId="35" fillId="0" borderId="5" xfId="0" applyFont="1" applyBorder="1" applyAlignment="1" applyProtection="1">
      <alignment horizontal="right"/>
      <protection hidden="1"/>
    </xf>
    <xf numFmtId="0" fontId="5" fillId="5" borderId="0" xfId="0" applyFont="1" applyFill="1" applyProtection="1">
      <protection hidden="1"/>
    </xf>
    <xf numFmtId="0" fontId="11" fillId="5" borderId="0" xfId="0" applyFont="1" applyFill="1" applyProtection="1">
      <protection hidden="1"/>
    </xf>
    <xf numFmtId="2" fontId="1" fillId="5" borderId="0" xfId="0" applyNumberFormat="1" applyFont="1" applyFill="1" applyProtection="1">
      <protection hidden="1"/>
    </xf>
    <xf numFmtId="0" fontId="1" fillId="0" borderId="5" xfId="0" applyFont="1" applyBorder="1" applyAlignment="1" applyProtection="1">
      <alignment horizontal="right"/>
      <protection hidden="1"/>
    </xf>
    <xf numFmtId="0" fontId="1" fillId="0" borderId="5" xfId="0" applyFont="1" applyBorder="1" applyAlignment="1" applyProtection="1">
      <alignment horizontal="left"/>
      <protection hidden="1"/>
    </xf>
    <xf numFmtId="0" fontId="7" fillId="0" borderId="5" xfId="0" applyFont="1" applyBorder="1" applyAlignment="1" applyProtection="1">
      <alignment horizontal="center"/>
      <protection hidden="1"/>
    </xf>
    <xf numFmtId="0" fontId="4" fillId="5" borderId="0" xfId="0" applyFont="1" applyFill="1" applyAlignment="1" applyProtection="1">
      <alignment horizontal="center" vertical="center"/>
      <protection hidden="1"/>
    </xf>
    <xf numFmtId="0" fontId="3" fillId="0" borderId="4" xfId="0" applyFont="1" applyBorder="1" applyProtection="1">
      <protection hidden="1"/>
    </xf>
    <xf numFmtId="165" fontId="1" fillId="0" borderId="6" xfId="0" applyNumberFormat="1" applyFont="1" applyBorder="1" applyProtection="1">
      <protection hidden="1"/>
    </xf>
    <xf numFmtId="0" fontId="1" fillId="0" borderId="21" xfId="0" applyFont="1" applyBorder="1" applyProtection="1">
      <protection hidden="1"/>
    </xf>
    <xf numFmtId="165" fontId="1" fillId="5" borderId="0" xfId="0" applyNumberFormat="1" applyFont="1" applyFill="1" applyProtection="1">
      <protection hidden="1"/>
    </xf>
    <xf numFmtId="0" fontId="1" fillId="0" borderId="21" xfId="0" applyFont="1" applyBorder="1" applyAlignment="1" applyProtection="1">
      <alignment horizontal="right"/>
      <protection hidden="1"/>
    </xf>
    <xf numFmtId="0" fontId="1" fillId="0" borderId="22" xfId="0" applyFont="1" applyBorder="1" applyProtection="1">
      <protection hidden="1"/>
    </xf>
    <xf numFmtId="0" fontId="1" fillId="0" borderId="7" xfId="0" applyFont="1" applyBorder="1" applyAlignment="1" applyProtection="1">
      <alignment horizontal="center"/>
      <protection hidden="1"/>
    </xf>
    <xf numFmtId="0" fontId="1" fillId="0" borderId="8" xfId="0" applyFont="1" applyBorder="1" applyAlignment="1" applyProtection="1">
      <alignment horizontal="right"/>
      <protection hidden="1"/>
    </xf>
    <xf numFmtId="0" fontId="1" fillId="0" borderId="8" xfId="0" applyFont="1" applyBorder="1" applyProtection="1">
      <protection hidden="1"/>
    </xf>
    <xf numFmtId="0" fontId="1" fillId="0" borderId="9" xfId="0" applyFont="1" applyBorder="1" applyProtection="1">
      <protection hidden="1"/>
    </xf>
    <xf numFmtId="165" fontId="1" fillId="0" borderId="9" xfId="0" applyNumberFormat="1" applyFont="1" applyBorder="1" applyProtection="1">
      <protection hidden="1"/>
    </xf>
    <xf numFmtId="0" fontId="26" fillId="5" borderId="0" xfId="0" applyFont="1" applyFill="1" applyProtection="1">
      <protection hidden="1"/>
    </xf>
    <xf numFmtId="0" fontId="27" fillId="5" borderId="0" xfId="0" applyFont="1" applyFill="1" applyProtection="1">
      <protection hidden="1"/>
    </xf>
    <xf numFmtId="0" fontId="2" fillId="5" borderId="0" xfId="0" applyFont="1" applyFill="1" applyProtection="1">
      <protection hidden="1"/>
    </xf>
    <xf numFmtId="0" fontId="2" fillId="5" borderId="0" xfId="0" quotePrefix="1" applyFont="1" applyFill="1" applyProtection="1">
      <protection hidden="1"/>
    </xf>
    <xf numFmtId="0" fontId="36" fillId="0" borderId="5" xfId="0" applyFont="1" applyBorder="1" applyProtection="1">
      <protection locked="0" hidden="1"/>
    </xf>
    <xf numFmtId="0" fontId="36" fillId="0" borderId="5" xfId="0" applyFont="1" applyBorder="1" applyAlignment="1" applyProtection="1">
      <alignment horizontal="left"/>
      <protection locked="0" hidden="1"/>
    </xf>
    <xf numFmtId="0" fontId="37" fillId="0" borderId="5" xfId="0" applyFont="1" applyBorder="1" applyAlignment="1" applyProtection="1">
      <alignment horizontal="right"/>
      <protection locked="0" hidden="1"/>
    </xf>
    <xf numFmtId="0" fontId="37" fillId="0" borderId="5" xfId="0" applyFont="1" applyBorder="1" applyAlignment="1" applyProtection="1">
      <alignment horizontal="left"/>
      <protection locked="0" hidden="1"/>
    </xf>
    <xf numFmtId="0" fontId="10" fillId="0" borderId="5" xfId="0" applyFont="1" applyBorder="1" applyAlignment="1" applyProtection="1">
      <alignment horizontal="center"/>
      <protection locked="0" hidden="1"/>
    </xf>
    <xf numFmtId="0" fontId="20" fillId="0" borderId="5" xfId="0" applyFont="1" applyBorder="1" applyAlignment="1" applyProtection="1">
      <alignment horizontal="center"/>
      <protection locked="0" hidden="1"/>
    </xf>
    <xf numFmtId="0" fontId="3" fillId="0" borderId="3" xfId="0" applyFont="1" applyBorder="1" applyAlignment="1" applyProtection="1">
      <alignment horizontal="center"/>
      <protection locked="0" hidden="1"/>
    </xf>
    <xf numFmtId="0" fontId="3" fillId="0" borderId="6" xfId="0" applyFont="1" applyBorder="1" applyAlignment="1" applyProtection="1">
      <alignment horizontal="center"/>
      <protection locked="0" hidden="1"/>
    </xf>
    <xf numFmtId="0" fontId="1" fillId="0" borderId="6" xfId="0" applyFont="1" applyBorder="1" applyProtection="1">
      <protection locked="0" hidden="1"/>
    </xf>
    <xf numFmtId="49" fontId="20" fillId="0" borderId="6" xfId="0" applyNumberFormat="1" applyFont="1" applyBorder="1" applyAlignment="1" applyProtection="1">
      <alignment horizontal="center"/>
      <protection locked="0" hidden="1"/>
    </xf>
    <xf numFmtId="0" fontId="39" fillId="0" borderId="5" xfId="0" applyFont="1" applyBorder="1" applyAlignment="1" applyProtection="1">
      <alignment horizontal="left"/>
      <protection locked="0" hidden="1"/>
    </xf>
    <xf numFmtId="0" fontId="42" fillId="0" borderId="5" xfId="0" applyFont="1" applyBorder="1" applyAlignment="1" applyProtection="1">
      <alignment horizontal="left"/>
      <protection locked="0" hidden="1"/>
    </xf>
    <xf numFmtId="0" fontId="41" fillId="0" borderId="5" xfId="0" applyFont="1" applyBorder="1" applyProtection="1">
      <protection locked="0" hidden="1"/>
    </xf>
    <xf numFmtId="0" fontId="41" fillId="0" borderId="5" xfId="0" applyFont="1" applyBorder="1" applyAlignment="1" applyProtection="1">
      <alignment horizontal="left"/>
      <protection locked="0" hidden="1"/>
    </xf>
    <xf numFmtId="0" fontId="40" fillId="0" borderId="5" xfId="0" applyFont="1" applyBorder="1" applyProtection="1">
      <protection locked="0" hidden="1"/>
    </xf>
    <xf numFmtId="0" fontId="0" fillId="0" borderId="0" xfId="0" applyAlignment="1" applyProtection="1">
      <alignment horizontal="right"/>
      <protection locked="0"/>
    </xf>
    <xf numFmtId="0" fontId="0" fillId="0" borderId="0" xfId="0" applyAlignment="1" applyProtection="1">
      <alignment horizontal="center"/>
      <protection locked="0"/>
    </xf>
    <xf numFmtId="164" fontId="0" fillId="0" borderId="0" xfId="0" applyNumberFormat="1" applyProtection="1">
      <protection locked="0"/>
    </xf>
    <xf numFmtId="1" fontId="0" fillId="0" borderId="0" xfId="0" applyNumberFormat="1" applyProtection="1">
      <protection locked="0"/>
    </xf>
    <xf numFmtId="0" fontId="0" fillId="0" borderId="10" xfId="0" applyBorder="1" applyProtection="1">
      <protection locked="0"/>
    </xf>
    <xf numFmtId="0" fontId="0" fillId="0" borderId="10" xfId="0" applyBorder="1" applyAlignment="1" applyProtection="1">
      <alignment horizontal="center"/>
      <protection locked="0"/>
    </xf>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34" fillId="0" borderId="0" xfId="0" applyFont="1" applyAlignment="1" applyProtection="1">
      <alignment vertical="top" wrapText="1"/>
      <protection locked="0"/>
    </xf>
    <xf numFmtId="164" fontId="0" fillId="0" borderId="0" xfId="0" applyNumberFormat="1" applyAlignment="1" applyProtection="1">
      <alignment horizontal="center" vertical="center"/>
      <protection locked="0"/>
    </xf>
    <xf numFmtId="0" fontId="0" fillId="0" borderId="0" xfId="0" applyAlignment="1" applyProtection="1">
      <alignment horizontal="center" vertical="center" wrapText="1"/>
      <protection locked="0"/>
    </xf>
    <xf numFmtId="9" fontId="0" fillId="0" borderId="0" xfId="0" applyNumberFormat="1" applyProtection="1">
      <protection locked="0"/>
    </xf>
    <xf numFmtId="0" fontId="6" fillId="0" borderId="0" xfId="0" applyFont="1" applyAlignment="1" applyProtection="1">
      <alignment horizontal="center"/>
      <protection locked="0"/>
    </xf>
    <xf numFmtId="0" fontId="0" fillId="0" borderId="25" xfId="0" applyBorder="1" applyAlignment="1" applyProtection="1">
      <alignment horizontal="center" wrapText="1"/>
      <protection locked="0"/>
    </xf>
    <xf numFmtId="0" fontId="0" fillId="0" borderId="18" xfId="0" applyBorder="1" applyAlignment="1" applyProtection="1">
      <alignment horizontal="center" wrapText="1"/>
      <protection locked="0"/>
    </xf>
    <xf numFmtId="0" fontId="0" fillId="0" borderId="5" xfId="0" applyBorder="1" applyProtection="1">
      <protection locked="0"/>
    </xf>
    <xf numFmtId="0" fontId="0" fillId="0" borderId="16" xfId="0" applyBorder="1" applyProtection="1">
      <protection locked="0"/>
    </xf>
    <xf numFmtId="0" fontId="0" fillId="0" borderId="6" xfId="0" applyBorder="1" applyProtection="1">
      <protection locked="0"/>
    </xf>
    <xf numFmtId="0" fontId="0" fillId="0" borderId="4" xfId="0" applyBorder="1" applyProtection="1">
      <protection locked="0"/>
    </xf>
    <xf numFmtId="0" fontId="0" fillId="0" borderId="18" xfId="0" applyBorder="1" applyProtection="1">
      <protection locked="0"/>
    </xf>
    <xf numFmtId="1" fontId="0" fillId="0" borderId="5" xfId="0" applyNumberFormat="1" applyBorder="1" applyProtection="1">
      <protection locked="0"/>
    </xf>
    <xf numFmtId="1" fontId="0" fillId="0" borderId="16" xfId="0" applyNumberFormat="1" applyBorder="1" applyProtection="1">
      <protection locked="0"/>
    </xf>
    <xf numFmtId="167" fontId="0" fillId="0" borderId="0" xfId="0" applyNumberFormat="1" applyProtection="1">
      <protection locked="0"/>
    </xf>
    <xf numFmtId="0" fontId="0" fillId="0" borderId="4" xfId="0" applyBorder="1" applyAlignment="1" applyProtection="1">
      <alignment horizontal="right"/>
      <protection locked="0"/>
    </xf>
    <xf numFmtId="0" fontId="0" fillId="0" borderId="18" xfId="0" applyBorder="1" applyAlignment="1" applyProtection="1">
      <alignment horizontal="right"/>
      <protection locked="0"/>
    </xf>
    <xf numFmtId="2" fontId="0" fillId="0" borderId="5" xfId="0" applyNumberFormat="1" applyBorder="1" applyProtection="1">
      <protection locked="0"/>
    </xf>
    <xf numFmtId="2" fontId="0" fillId="0" borderId="6" xfId="0" applyNumberFormat="1" applyBorder="1" applyProtection="1">
      <protection locked="0"/>
    </xf>
    <xf numFmtId="2" fontId="0" fillId="0" borderId="0" xfId="0" applyNumberFormat="1" applyProtection="1">
      <protection locked="0"/>
    </xf>
    <xf numFmtId="0" fontId="0" fillId="0" borderId="20" xfId="0" applyBorder="1" applyAlignment="1" applyProtection="1">
      <alignment horizontal="right"/>
      <protection locked="0"/>
    </xf>
    <xf numFmtId="0" fontId="0" fillId="0" borderId="26" xfId="0" applyBorder="1" applyAlignment="1" applyProtection="1">
      <alignment horizontal="right"/>
      <protection locked="0"/>
    </xf>
    <xf numFmtId="2" fontId="0" fillId="0" borderId="21" xfId="0" applyNumberFormat="1" applyBorder="1" applyProtection="1">
      <protection locked="0"/>
    </xf>
    <xf numFmtId="2" fontId="0" fillId="0" borderId="22" xfId="0" applyNumberFormat="1" applyBorder="1" applyProtection="1">
      <protection locked="0"/>
    </xf>
    <xf numFmtId="0" fontId="0" fillId="0" borderId="7" xfId="0" applyBorder="1" applyAlignment="1" applyProtection="1">
      <alignment horizontal="center"/>
      <protection locked="0"/>
    </xf>
    <xf numFmtId="0" fontId="0" fillId="0" borderId="27" xfId="0" applyBorder="1" applyAlignment="1" applyProtection="1">
      <alignment horizontal="center"/>
      <protection locked="0"/>
    </xf>
    <xf numFmtId="0" fontId="0" fillId="0" borderId="8" xfId="0" applyBorder="1" applyProtection="1">
      <protection locked="0"/>
    </xf>
    <xf numFmtId="0" fontId="0" fillId="0" borderId="17" xfId="0" applyBorder="1" applyProtection="1">
      <protection locked="0"/>
    </xf>
    <xf numFmtId="0" fontId="0" fillId="0" borderId="9" xfId="0" applyBorder="1" applyProtection="1">
      <protection locked="0"/>
    </xf>
    <xf numFmtId="14" fontId="0" fillId="0" borderId="0" xfId="0" applyNumberFormat="1" applyProtection="1">
      <protection locked="0"/>
    </xf>
    <xf numFmtId="164" fontId="0" fillId="0" borderId="10" xfId="0" applyNumberFormat="1" applyBorder="1" applyProtection="1">
      <protection locked="0"/>
    </xf>
    <xf numFmtId="14" fontId="23" fillId="0" borderId="0" xfId="0" applyNumberFormat="1" applyFont="1" applyProtection="1">
      <protection locked="0" hidden="1"/>
    </xf>
    <xf numFmtId="9" fontId="0" fillId="0" borderId="11" xfId="0" applyNumberFormat="1" applyBorder="1" applyProtection="1">
      <protection locked="0"/>
    </xf>
    <xf numFmtId="165" fontId="13" fillId="0" borderId="3" xfId="0" applyNumberFormat="1" applyFont="1" applyBorder="1" applyProtection="1">
      <protection hidden="1"/>
    </xf>
    <xf numFmtId="0" fontId="2" fillId="0" borderId="4" xfId="0" applyFont="1" applyBorder="1" applyAlignment="1" applyProtection="1">
      <alignment horizontal="center"/>
      <protection hidden="1"/>
    </xf>
    <xf numFmtId="165" fontId="44" fillId="0" borderId="6" xfId="0" applyNumberFormat="1" applyFont="1" applyBorder="1" applyProtection="1">
      <protection hidden="1"/>
    </xf>
    <xf numFmtId="0" fontId="0" fillId="0" borderId="0" xfId="0" applyAlignment="1" applyProtection="1">
      <alignment vertical="center" wrapText="1"/>
      <protection locked="0"/>
    </xf>
    <xf numFmtId="0" fontId="0" fillId="0" borderId="0" xfId="0" applyAlignment="1" applyProtection="1">
      <alignment vertical="center"/>
      <protection locked="0"/>
    </xf>
    <xf numFmtId="0" fontId="25" fillId="0" borderId="0" xfId="0" applyFont="1" applyBorder="1" applyAlignment="1" applyProtection="1">
      <alignment horizontal="center" vertical="top"/>
      <protection hidden="1"/>
    </xf>
    <xf numFmtId="0" fontId="25" fillId="0" borderId="0" xfId="0" applyFont="1" applyBorder="1" applyAlignment="1" applyProtection="1">
      <alignment vertical="top"/>
      <protection hidden="1"/>
    </xf>
    <xf numFmtId="0" fontId="25" fillId="0" borderId="33" xfId="0" applyFont="1" applyBorder="1" applyProtection="1">
      <protection hidden="1"/>
    </xf>
    <xf numFmtId="0" fontId="25" fillId="0" borderId="33" xfId="0" applyFont="1" applyBorder="1" applyAlignment="1" applyProtection="1">
      <alignment horizontal="center"/>
      <protection hidden="1"/>
    </xf>
    <xf numFmtId="2" fontId="25" fillId="0" borderId="0" xfId="0" applyNumberFormat="1" applyFont="1" applyBorder="1" applyAlignment="1" applyProtection="1">
      <alignment horizontal="right" vertical="top"/>
      <protection hidden="1"/>
    </xf>
    <xf numFmtId="2" fontId="25" fillId="0" borderId="0" xfId="0" applyNumberFormat="1" applyFont="1" applyAlignment="1" applyProtection="1">
      <alignment horizontal="right" vertical="top"/>
      <protection hidden="1"/>
    </xf>
    <xf numFmtId="2" fontId="25" fillId="0" borderId="33" xfId="0" applyNumberFormat="1" applyFont="1" applyBorder="1" applyAlignment="1" applyProtection="1">
      <alignment horizontal="right" vertical="top"/>
      <protection hidden="1"/>
    </xf>
    <xf numFmtId="0" fontId="25" fillId="0" borderId="0" xfId="0" applyNumberFormat="1" applyFont="1" applyBorder="1" applyAlignment="1" applyProtection="1">
      <alignment horizontal="center" vertical="top"/>
      <protection hidden="1"/>
    </xf>
    <xf numFmtId="0" fontId="25" fillId="0" borderId="33" xfId="0" applyFont="1" applyBorder="1" applyAlignment="1" applyProtection="1">
      <alignment vertical="top"/>
      <protection hidden="1"/>
    </xf>
    <xf numFmtId="0" fontId="0" fillId="0" borderId="0" xfId="0" applyAlignment="1">
      <alignment horizontal="center"/>
    </xf>
    <xf numFmtId="0" fontId="0" fillId="0" borderId="0" xfId="0" applyAlignment="1">
      <alignment horizontal="center"/>
    </xf>
    <xf numFmtId="0" fontId="0" fillId="0" borderId="0" xfId="0"/>
    <xf numFmtId="0" fontId="0" fillId="0" borderId="0" xfId="0"/>
    <xf numFmtId="173" fontId="0" fillId="0" borderId="0" xfId="0" applyNumberFormat="1" applyProtection="1">
      <protection locked="0"/>
    </xf>
    <xf numFmtId="0" fontId="25" fillId="0" borderId="0" xfId="0" applyFont="1" applyBorder="1" applyProtection="1">
      <protection hidden="1"/>
    </xf>
    <xf numFmtId="0" fontId="25" fillId="0" borderId="0" xfId="0" applyFont="1" applyBorder="1" applyAlignment="1" applyProtection="1">
      <alignment horizontal="center"/>
      <protection hidden="1"/>
    </xf>
    <xf numFmtId="0" fontId="25" fillId="0" borderId="10" xfId="0" applyFont="1" applyBorder="1" applyAlignment="1" applyProtection="1">
      <alignment horizontal="center" vertical="top"/>
      <protection hidden="1"/>
    </xf>
    <xf numFmtId="4" fontId="25" fillId="0" borderId="10" xfId="0" applyNumberFormat="1" applyFont="1" applyBorder="1" applyAlignment="1" applyProtection="1">
      <alignment vertical="top"/>
      <protection hidden="1"/>
    </xf>
    <xf numFmtId="4" fontId="25" fillId="0" borderId="10" xfId="0" applyNumberFormat="1" applyFont="1" applyBorder="1" applyAlignment="1" applyProtection="1">
      <alignment horizontal="center" vertical="top"/>
      <protection hidden="1"/>
    </xf>
    <xf numFmtId="0" fontId="25" fillId="0" borderId="39" xfId="0" applyFont="1" applyBorder="1" applyAlignment="1" applyProtection="1">
      <alignment horizontal="center" vertical="top"/>
      <protection hidden="1"/>
    </xf>
    <xf numFmtId="4" fontId="25" fillId="0" borderId="39" xfId="0" applyNumberFormat="1" applyFont="1" applyBorder="1" applyAlignment="1" applyProtection="1">
      <alignment vertical="top"/>
      <protection hidden="1"/>
    </xf>
    <xf numFmtId="4" fontId="25" fillId="0" borderId="39" xfId="0" applyNumberFormat="1" applyFont="1" applyBorder="1" applyAlignment="1" applyProtection="1">
      <alignment horizontal="center" vertical="top"/>
      <protection hidden="1"/>
    </xf>
    <xf numFmtId="0" fontId="10" fillId="0" borderId="13" xfId="0" applyFont="1" applyBorder="1" applyAlignment="1" applyProtection="1">
      <alignment horizontal="center"/>
      <protection locked="0" hidden="1"/>
    </xf>
    <xf numFmtId="0" fontId="23" fillId="0" borderId="5" xfId="0" applyFont="1" applyBorder="1"/>
    <xf numFmtId="0" fontId="20" fillId="0" borderId="21" xfId="0" applyFont="1" applyBorder="1" applyAlignment="1" applyProtection="1">
      <alignment horizontal="center"/>
      <protection locked="0" hidden="1"/>
    </xf>
    <xf numFmtId="0" fontId="20" fillId="0" borderId="8" xfId="0" applyFont="1" applyBorder="1" applyAlignment="1" applyProtection="1">
      <alignment horizontal="center"/>
      <protection hidden="1"/>
    </xf>
    <xf numFmtId="0" fontId="1" fillId="5" borderId="5" xfId="0" applyFont="1" applyFill="1" applyBorder="1"/>
    <xf numFmtId="0" fontId="6" fillId="0" borderId="5" xfId="0" applyFont="1" applyBorder="1"/>
    <xf numFmtId="0" fontId="3" fillId="0" borderId="5" xfId="0" applyFont="1" applyFill="1" applyBorder="1" applyAlignment="1" applyProtection="1">
      <alignment horizontal="center" vertical="center" wrapText="1"/>
      <protection hidden="1"/>
    </xf>
    <xf numFmtId="0" fontId="6" fillId="0" borderId="5" xfId="0" applyFont="1" applyBorder="1" applyAlignment="1">
      <alignment horizontal="center" vertical="center"/>
    </xf>
    <xf numFmtId="0" fontId="43" fillId="6" borderId="5" xfId="1" applyBorder="1" applyProtection="1">
      <protection hidden="1"/>
    </xf>
    <xf numFmtId="0" fontId="43" fillId="6" borderId="5" xfId="1" applyBorder="1"/>
    <xf numFmtId="0" fontId="23" fillId="0" borderId="5" xfId="0" applyFont="1" applyFill="1" applyBorder="1"/>
    <xf numFmtId="0" fontId="46" fillId="0" borderId="0" xfId="3"/>
    <xf numFmtId="0" fontId="0" fillId="0" borderId="0" xfId="0" applyFont="1"/>
    <xf numFmtId="0" fontId="47" fillId="0" borderId="5" xfId="0" applyFont="1" applyBorder="1" applyProtection="1">
      <protection hidden="1"/>
    </xf>
    <xf numFmtId="0" fontId="0" fillId="0" borderId="5" xfId="0" applyBorder="1"/>
    <xf numFmtId="169" fontId="48" fillId="0" borderId="5" xfId="0" applyNumberFormat="1" applyFont="1" applyBorder="1" applyProtection="1">
      <protection locked="0" hidden="1"/>
    </xf>
    <xf numFmtId="164" fontId="45" fillId="7" borderId="5" xfId="2" applyNumberFormat="1" applyBorder="1" applyProtection="1">
      <protection hidden="1"/>
    </xf>
    <xf numFmtId="164" fontId="49" fillId="8" borderId="5" xfId="4" applyNumberFormat="1" applyBorder="1" applyProtection="1">
      <protection hidden="1"/>
    </xf>
    <xf numFmtId="0" fontId="45" fillId="7" borderId="5" xfId="2" applyBorder="1"/>
    <xf numFmtId="164" fontId="45" fillId="7" borderId="5" xfId="2" applyNumberFormat="1" applyBorder="1" applyProtection="1">
      <protection locked="0"/>
    </xf>
    <xf numFmtId="0" fontId="0" fillId="0" borderId="0" xfId="0"/>
    <xf numFmtId="0" fontId="50" fillId="0" borderId="4" xfId="0" applyFont="1" applyBorder="1" applyAlignment="1" applyProtection="1">
      <alignment horizontal="center"/>
      <protection hidden="1"/>
    </xf>
    <xf numFmtId="0" fontId="50" fillId="0" borderId="5" xfId="0" applyFont="1" applyBorder="1" applyAlignment="1" applyProtection="1">
      <alignment horizontal="left"/>
      <protection locked="0" hidden="1"/>
    </xf>
    <xf numFmtId="0" fontId="51" fillId="0" borderId="5" xfId="0" applyFont="1" applyBorder="1" applyAlignment="1" applyProtection="1">
      <alignment horizontal="center"/>
      <protection locked="0" hidden="1"/>
    </xf>
    <xf numFmtId="4" fontId="52" fillId="0" borderId="5" xfId="0" applyNumberFormat="1" applyFont="1" applyBorder="1" applyAlignment="1" applyProtection="1">
      <alignment horizontal="center"/>
      <protection hidden="1"/>
    </xf>
    <xf numFmtId="0" fontId="50" fillId="0" borderId="5" xfId="0" applyFont="1" applyBorder="1" applyAlignment="1" applyProtection="1">
      <alignment horizontal="right"/>
      <protection hidden="1"/>
    </xf>
    <xf numFmtId="0" fontId="53" fillId="0" borderId="5" xfId="0" applyFont="1" applyBorder="1" applyAlignment="1" applyProtection="1">
      <alignment horizontal="right"/>
      <protection hidden="1"/>
    </xf>
    <xf numFmtId="0" fontId="27" fillId="0" borderId="6" xfId="0" applyFont="1" applyBorder="1" applyAlignment="1" applyProtection="1">
      <alignment horizontal="center" vertical="center"/>
      <protection hidden="1"/>
    </xf>
    <xf numFmtId="0" fontId="5" fillId="0" borderId="5" xfId="0" applyFont="1" applyBorder="1" applyProtection="1">
      <protection hidden="1"/>
    </xf>
    <xf numFmtId="0" fontId="20" fillId="0" borderId="6" xfId="0" applyFont="1" applyBorder="1" applyAlignment="1" applyProtection="1">
      <alignment horizontal="center"/>
      <protection locked="0" hidden="1"/>
    </xf>
    <xf numFmtId="0" fontId="0" fillId="0" borderId="0" xfId="0"/>
    <xf numFmtId="0" fontId="54" fillId="0" borderId="0" xfId="0" applyFont="1"/>
    <xf numFmtId="0" fontId="54" fillId="0" borderId="0" xfId="0" applyFont="1" applyAlignment="1">
      <alignment vertical="center" wrapText="1"/>
    </xf>
    <xf numFmtId="0" fontId="24" fillId="0" borderId="0" xfId="0" applyFont="1" applyAlignment="1" applyProtection="1">
      <alignment horizontal="left" vertical="center"/>
      <protection hidden="1"/>
    </xf>
    <xf numFmtId="0" fontId="2" fillId="0" borderId="0" xfId="0" applyFont="1" applyProtection="1">
      <protection hidden="1"/>
    </xf>
    <xf numFmtId="0" fontId="56" fillId="0" borderId="0" xfId="0" applyFont="1" applyProtection="1">
      <protection hidden="1"/>
    </xf>
    <xf numFmtId="0" fontId="2" fillId="0" borderId="0" xfId="0" applyFont="1" applyAlignment="1" applyProtection="1">
      <alignment horizontal="left"/>
      <protection hidden="1"/>
    </xf>
    <xf numFmtId="0" fontId="57" fillId="0" borderId="0" xfId="0" applyFont="1" applyAlignment="1">
      <alignment horizontal="left" vertical="center"/>
    </xf>
    <xf numFmtId="0" fontId="55" fillId="0" borderId="0" xfId="0" applyFont="1" applyAlignment="1">
      <alignment horizontal="left" vertical="center"/>
    </xf>
    <xf numFmtId="0" fontId="1" fillId="0" borderId="0" xfId="0" applyFont="1" applyAlignment="1" applyProtection="1">
      <alignment horizontal="left"/>
      <protection hidden="1"/>
    </xf>
    <xf numFmtId="0" fontId="0" fillId="0" borderId="0" xfId="0" applyFont="1" applyAlignment="1">
      <alignment horizontal="right" vertical="center"/>
    </xf>
    <xf numFmtId="0" fontId="38" fillId="5" borderId="0" xfId="0" applyFont="1" applyFill="1" applyAlignment="1" applyProtection="1">
      <alignment horizontal="center" vertical="center"/>
      <protection locked="0" hidden="1"/>
    </xf>
    <xf numFmtId="0" fontId="3" fillId="0" borderId="7" xfId="0" applyFont="1" applyBorder="1" applyProtection="1">
      <protection hidden="1"/>
    </xf>
    <xf numFmtId="0" fontId="3" fillId="0" borderId="27" xfId="0" applyFont="1" applyBorder="1" applyProtection="1">
      <protection hidden="1"/>
    </xf>
    <xf numFmtId="0" fontId="0" fillId="0" borderId="8" xfId="0" applyBorder="1" applyProtection="1">
      <protection hidden="1"/>
    </xf>
    <xf numFmtId="0" fontId="3" fillId="0" borderId="4" xfId="0" applyFont="1" applyBorder="1" applyProtection="1">
      <protection hidden="1"/>
    </xf>
    <xf numFmtId="0" fontId="3" fillId="0" borderId="18" xfId="0" applyFont="1" applyBorder="1" applyProtection="1">
      <protection hidden="1"/>
    </xf>
    <xf numFmtId="0" fontId="0" fillId="0" borderId="5" xfId="0" applyBorder="1" applyProtection="1">
      <protection hidden="1"/>
    </xf>
    <xf numFmtId="49" fontId="3" fillId="0" borderId="16" xfId="0" applyNumberFormat="1" applyFont="1" applyBorder="1" applyAlignment="1" applyProtection="1">
      <alignment horizontal="left"/>
      <protection locked="0" hidden="1"/>
    </xf>
    <xf numFmtId="49" fontId="3" fillId="0" borderId="18" xfId="0" applyNumberFormat="1" applyFont="1" applyBorder="1" applyAlignment="1" applyProtection="1">
      <alignment horizontal="left"/>
      <protection locked="0" hidden="1"/>
    </xf>
    <xf numFmtId="0" fontId="19" fillId="0" borderId="17" xfId="0" applyFont="1" applyBorder="1" applyAlignment="1" applyProtection="1">
      <alignment horizontal="left"/>
      <protection hidden="1"/>
    </xf>
    <xf numFmtId="0" fontId="19" fillId="0" borderId="27" xfId="0" applyFont="1" applyBorder="1" applyAlignment="1" applyProtection="1">
      <alignment horizontal="left"/>
      <protection hidden="1"/>
    </xf>
    <xf numFmtId="0" fontId="0" fillId="0" borderId="16" xfId="0" applyBorder="1" applyAlignment="1" applyProtection="1">
      <alignment horizontal="center"/>
      <protection hidden="1"/>
    </xf>
    <xf numFmtId="0" fontId="22" fillId="0" borderId="18" xfId="0" applyFont="1" applyBorder="1" applyAlignment="1" applyProtection="1">
      <alignment horizontal="center"/>
      <protection hidden="1"/>
    </xf>
    <xf numFmtId="0" fontId="3" fillId="0" borderId="29" xfId="0" applyFont="1" applyBorder="1" applyProtection="1">
      <protection hidden="1"/>
    </xf>
    <xf numFmtId="0" fontId="3" fillId="0" borderId="31" xfId="0" applyFont="1" applyBorder="1" applyProtection="1">
      <protection hidden="1"/>
    </xf>
    <xf numFmtId="0" fontId="3" fillId="0" borderId="25" xfId="0" applyFont="1" applyBorder="1" applyProtection="1">
      <protection hidden="1"/>
    </xf>
    <xf numFmtId="0" fontId="3" fillId="0" borderId="32" xfId="0" applyFont="1" applyBorder="1" applyAlignment="1" applyProtection="1">
      <alignment horizontal="center"/>
      <protection hidden="1"/>
    </xf>
    <xf numFmtId="0" fontId="3" fillId="0" borderId="30" xfId="0" applyFont="1" applyBorder="1" applyAlignment="1" applyProtection="1">
      <alignment horizontal="center"/>
      <protection hidden="1"/>
    </xf>
    <xf numFmtId="0" fontId="1" fillId="0" borderId="19" xfId="0" applyFont="1" applyBorder="1" applyAlignment="1" applyProtection="1">
      <alignment horizontal="left"/>
      <protection hidden="1"/>
    </xf>
    <xf numFmtId="0" fontId="1" fillId="0" borderId="25" xfId="0" applyFont="1" applyBorder="1" applyAlignment="1" applyProtection="1">
      <alignment horizontal="left"/>
      <protection hidden="1"/>
    </xf>
    <xf numFmtId="0" fontId="1" fillId="0" borderId="16" xfId="0" applyFont="1" applyBorder="1" applyAlignment="1" applyProtection="1">
      <alignment horizontal="left"/>
      <protection hidden="1"/>
    </xf>
    <xf numFmtId="0" fontId="1" fillId="0" borderId="18" xfId="0" applyFont="1" applyBorder="1" applyAlignment="1" applyProtection="1">
      <alignment horizontal="left"/>
      <protection hidden="1"/>
    </xf>
    <xf numFmtId="0" fontId="1" fillId="0" borderId="16" xfId="0" applyFont="1" applyBorder="1" applyAlignment="1" applyProtection="1">
      <alignment horizontal="center"/>
      <protection locked="0" hidden="1"/>
    </xf>
    <xf numFmtId="0" fontId="1" fillId="0" borderId="36" xfId="0" applyFont="1" applyBorder="1" applyAlignment="1" applyProtection="1">
      <alignment horizontal="center"/>
      <protection locked="0" hidden="1"/>
    </xf>
    <xf numFmtId="0" fontId="36" fillId="0" borderId="16" xfId="0" applyFont="1" applyBorder="1" applyAlignment="1" applyProtection="1">
      <alignment horizontal="center" vertical="center"/>
      <protection locked="0" hidden="1"/>
    </xf>
    <xf numFmtId="0" fontId="36" fillId="0" borderId="36" xfId="0" applyFont="1" applyBorder="1" applyAlignment="1" applyProtection="1">
      <alignment horizontal="center" vertical="center"/>
      <protection locked="0" hidden="1"/>
    </xf>
    <xf numFmtId="0" fontId="1" fillId="5" borderId="38" xfId="0" applyFont="1" applyFill="1" applyBorder="1" applyAlignment="1" applyProtection="1">
      <alignment horizontal="center"/>
      <protection hidden="1"/>
    </xf>
    <xf numFmtId="0" fontId="1" fillId="5" borderId="0" xfId="0" applyFont="1" applyFill="1" applyAlignment="1" applyProtection="1">
      <alignment horizontal="center"/>
      <protection hidden="1"/>
    </xf>
    <xf numFmtId="0" fontId="0" fillId="0" borderId="2" xfId="0" applyBorder="1" applyAlignment="1" applyProtection="1">
      <alignment horizontal="center"/>
      <protection locked="0"/>
    </xf>
    <xf numFmtId="0" fontId="0" fillId="0" borderId="1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 xfId="0" applyBorder="1" applyAlignment="1" applyProtection="1">
      <alignment horizontal="center" wrapText="1"/>
      <protection locked="0"/>
    </xf>
    <xf numFmtId="0" fontId="0" fillId="0" borderId="4" xfId="0" applyBorder="1" applyAlignment="1" applyProtection="1">
      <alignment horizontal="center" wrapText="1"/>
      <protection locked="0"/>
    </xf>
    <xf numFmtId="0" fontId="6" fillId="0" borderId="0" xfId="0" applyFont="1" applyAlignment="1" applyProtection="1">
      <alignment horizontal="center"/>
      <protection locked="0"/>
    </xf>
    <xf numFmtId="0" fontId="0" fillId="0" borderId="0" xfId="0" applyFont="1" applyAlignment="1" applyProtection="1">
      <alignment horizontal="right"/>
      <protection hidden="1"/>
    </xf>
    <xf numFmtId="0" fontId="0" fillId="0" borderId="0" xfId="0" applyFont="1" applyAlignment="1">
      <alignment horizontal="right" vertical="center"/>
    </xf>
    <xf numFmtId="0" fontId="58" fillId="0" borderId="0" xfId="0" applyFont="1" applyAlignment="1" applyProtection="1">
      <alignment horizontal="right"/>
      <protection hidden="1"/>
    </xf>
    <xf numFmtId="0" fontId="0" fillId="0" borderId="0" xfId="0" applyFont="1" applyBorder="1" applyAlignment="1">
      <alignment horizontal="right" vertical="center"/>
    </xf>
    <xf numFmtId="49" fontId="24" fillId="0" borderId="0" xfId="0" applyNumberFormat="1" applyFont="1" applyAlignment="1" applyProtection="1">
      <alignment horizontal="left" vertical="center"/>
      <protection hidden="1"/>
    </xf>
    <xf numFmtId="0" fontId="24" fillId="0" borderId="0" xfId="0" applyFont="1" applyAlignment="1" applyProtection="1">
      <alignment horizontal="left" vertical="center"/>
      <protection hidden="1"/>
    </xf>
    <xf numFmtId="0" fontId="25" fillId="0" borderId="0" xfId="0" applyFont="1" applyAlignment="1" applyProtection="1">
      <alignment horizontal="left" vertical="top" wrapText="1"/>
      <protection hidden="1"/>
    </xf>
    <xf numFmtId="0" fontId="24" fillId="0" borderId="0" xfId="0" applyFont="1" applyAlignment="1" applyProtection="1">
      <alignment horizontal="left" vertical="top"/>
      <protection hidden="1"/>
    </xf>
    <xf numFmtId="2" fontId="25" fillId="0" borderId="0" xfId="0" applyNumberFormat="1" applyFont="1" applyAlignment="1" applyProtection="1">
      <alignment horizontal="left" vertical="top" wrapText="1"/>
      <protection hidden="1"/>
    </xf>
    <xf numFmtId="0" fontId="28" fillId="0" borderId="33" xfId="0" applyFont="1" applyBorder="1" applyAlignment="1" applyProtection="1">
      <alignment horizontal="left" vertical="center" wrapText="1"/>
      <protection hidden="1"/>
    </xf>
    <xf numFmtId="0" fontId="25" fillId="0" borderId="10" xfId="0" applyFont="1" applyBorder="1" applyAlignment="1" applyProtection="1">
      <alignment horizontal="left" vertical="top" wrapText="1"/>
      <protection hidden="1"/>
    </xf>
    <xf numFmtId="0" fontId="25" fillId="0" borderId="39" xfId="0" applyFont="1" applyBorder="1" applyAlignment="1" applyProtection="1">
      <alignment horizontal="left" vertical="top" wrapText="1"/>
      <protection hidden="1"/>
    </xf>
    <xf numFmtId="0" fontId="24" fillId="0" borderId="0" xfId="0" applyFont="1" applyAlignment="1">
      <alignment horizontal="left" vertical="top"/>
    </xf>
    <xf numFmtId="0" fontId="25" fillId="0" borderId="0" xfId="0" applyFont="1" applyAlignment="1">
      <alignment horizontal="left" vertical="top" wrapText="1"/>
    </xf>
    <xf numFmtId="0" fontId="0" fillId="0" borderId="0" xfId="0" applyAlignment="1">
      <alignment horizontal="center"/>
    </xf>
    <xf numFmtId="0" fontId="0" fillId="0" borderId="0" xfId="0"/>
    <xf numFmtId="0" fontId="16" fillId="0" borderId="0" xfId="0" applyFont="1" applyAlignment="1">
      <alignment horizontal="center"/>
    </xf>
    <xf numFmtId="0" fontId="14" fillId="0" borderId="0" xfId="0" applyFont="1" applyAlignment="1">
      <alignment horizontal="left"/>
    </xf>
    <xf numFmtId="0" fontId="15" fillId="0" borderId="0" xfId="0" applyFont="1" applyAlignment="1">
      <alignment horizontal="left"/>
    </xf>
  </cellXfs>
  <cellStyles count="5">
    <cellStyle name="Bad" xfId="2" builtinId="27"/>
    <cellStyle name="Good" xfId="4" builtinId="26"/>
    <cellStyle name="Hyperlink" xfId="3" builtinId="8"/>
    <cellStyle name="Normal" xfId="0" builtinId="0"/>
    <cellStyle name="Output" xfId="1" builtinId="21"/>
  </cellStyles>
  <dxfs count="2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color theme="0"/>
      </font>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protection locked="0" hidden="0"/>
    </dxf>
    <dxf>
      <font>
        <color rgb="FF00B050"/>
      </font>
    </dxf>
    <dxf>
      <font>
        <color rgb="FF00B050"/>
      </font>
    </dxf>
    <dxf>
      <font>
        <color rgb="FF00B050"/>
      </font>
    </dxf>
    <dxf>
      <font>
        <color rgb="FF00B050"/>
      </font>
    </dxf>
    <dxf>
      <font>
        <color rgb="FFFF0000"/>
      </font>
    </dxf>
    <dxf>
      <fill>
        <patternFill>
          <bgColor rgb="FFFFFFCC"/>
        </patternFill>
      </fill>
    </dxf>
    <dxf>
      <font>
        <color rgb="FFFF0000"/>
      </font>
    </dxf>
    <dxf>
      <font>
        <color rgb="FFFF0000"/>
      </font>
    </dxf>
  </dxfs>
  <tableStyles count="0" defaultTableStyle="TableStyleMedium9" defaultPivotStyle="PivotStyleLight16"/>
  <colors>
    <mruColors>
      <color rgb="FFEB805F"/>
      <color rgb="FF8FFB9C"/>
      <color rgb="FF99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65507436570428"/>
          <c:y val="6.9919072615923034E-2"/>
          <c:w val="0.70592825896762901"/>
          <c:h val="0.8326195683872849"/>
        </c:manualLayout>
      </c:layout>
      <c:scatterChart>
        <c:scatterStyle val="lineMarker"/>
        <c:varyColors val="0"/>
        <c:ser>
          <c:idx val="0"/>
          <c:order val="0"/>
          <c:tx>
            <c:strRef>
              <c:f>Расчет!$L$3</c:f>
              <c:strCache>
                <c:ptCount val="1"/>
                <c:pt idx="0">
                  <c:v>1100</c:v>
                </c:pt>
              </c:strCache>
            </c:strRef>
          </c:tx>
          <c:xVal>
            <c:numRef>
              <c:f>Расчет!$J$4:$J$5</c:f>
              <c:numCache>
                <c:formatCode>General</c:formatCode>
                <c:ptCount val="2"/>
                <c:pt idx="0">
                  <c:v>2000</c:v>
                </c:pt>
                <c:pt idx="1">
                  <c:v>10000</c:v>
                </c:pt>
              </c:numCache>
            </c:numRef>
          </c:xVal>
          <c:yVal>
            <c:numRef>
              <c:f>Расчет!$L$4:$L$5</c:f>
              <c:numCache>
                <c:formatCode>0</c:formatCode>
                <c:ptCount val="2"/>
                <c:pt idx="0">
                  <c:v>6</c:v>
                </c:pt>
                <c:pt idx="1">
                  <c:v>8</c:v>
                </c:pt>
              </c:numCache>
            </c:numRef>
          </c:yVal>
          <c:smooth val="0"/>
          <c:extLst>
            <c:ext xmlns:c16="http://schemas.microsoft.com/office/drawing/2014/chart" uri="{C3380CC4-5D6E-409C-BE32-E72D297353CC}">
              <c16:uniqueId val="{00000000-D24E-4EEA-ADA3-390CB625C66C}"/>
            </c:ext>
          </c:extLst>
        </c:ser>
        <c:ser>
          <c:idx val="1"/>
          <c:order val="1"/>
          <c:tx>
            <c:strRef>
              <c:f>Расчет!$M$3</c:f>
              <c:strCache>
                <c:ptCount val="1"/>
                <c:pt idx="0">
                  <c:v>1200</c:v>
                </c:pt>
              </c:strCache>
            </c:strRef>
          </c:tx>
          <c:xVal>
            <c:numRef>
              <c:f>Расчет!$J$4:$J$5</c:f>
              <c:numCache>
                <c:formatCode>General</c:formatCode>
                <c:ptCount val="2"/>
                <c:pt idx="0">
                  <c:v>2000</c:v>
                </c:pt>
                <c:pt idx="1">
                  <c:v>10000</c:v>
                </c:pt>
              </c:numCache>
            </c:numRef>
          </c:xVal>
          <c:yVal>
            <c:numRef>
              <c:f>Расчет!$M$4:$M$5</c:f>
              <c:numCache>
                <c:formatCode>0</c:formatCode>
                <c:ptCount val="2"/>
                <c:pt idx="0">
                  <c:v>6</c:v>
                </c:pt>
                <c:pt idx="1">
                  <c:v>8</c:v>
                </c:pt>
              </c:numCache>
            </c:numRef>
          </c:yVal>
          <c:smooth val="0"/>
          <c:extLst>
            <c:ext xmlns:c16="http://schemas.microsoft.com/office/drawing/2014/chart" uri="{C3380CC4-5D6E-409C-BE32-E72D297353CC}">
              <c16:uniqueId val="{00000001-D24E-4EEA-ADA3-390CB625C66C}"/>
            </c:ext>
          </c:extLst>
        </c:ser>
        <c:ser>
          <c:idx val="2"/>
          <c:order val="2"/>
          <c:tx>
            <c:strRef>
              <c:f>Расчет!$N$3</c:f>
              <c:strCache>
                <c:ptCount val="1"/>
                <c:pt idx="0">
                  <c:v>1400</c:v>
                </c:pt>
              </c:strCache>
            </c:strRef>
          </c:tx>
          <c:xVal>
            <c:numRef>
              <c:f>Расчет!$J$4:$J$5</c:f>
              <c:numCache>
                <c:formatCode>General</c:formatCode>
                <c:ptCount val="2"/>
                <c:pt idx="0">
                  <c:v>2000</c:v>
                </c:pt>
                <c:pt idx="1">
                  <c:v>10000</c:v>
                </c:pt>
              </c:numCache>
            </c:numRef>
          </c:xVal>
          <c:yVal>
            <c:numRef>
              <c:f>Расчет!$N$4:$N$5</c:f>
              <c:numCache>
                <c:formatCode>0</c:formatCode>
                <c:ptCount val="2"/>
                <c:pt idx="0">
                  <c:v>6</c:v>
                </c:pt>
                <c:pt idx="1">
                  <c:v>8</c:v>
                </c:pt>
              </c:numCache>
            </c:numRef>
          </c:yVal>
          <c:smooth val="0"/>
          <c:extLst>
            <c:ext xmlns:c16="http://schemas.microsoft.com/office/drawing/2014/chart" uri="{C3380CC4-5D6E-409C-BE32-E72D297353CC}">
              <c16:uniqueId val="{00000002-D24E-4EEA-ADA3-390CB625C66C}"/>
            </c:ext>
          </c:extLst>
        </c:ser>
        <c:ser>
          <c:idx val="3"/>
          <c:order val="3"/>
          <c:tx>
            <c:strRef>
              <c:f>Расчет!$P$3</c:f>
              <c:strCache>
                <c:ptCount val="1"/>
                <c:pt idx="0">
                  <c:v>1600</c:v>
                </c:pt>
              </c:strCache>
            </c:strRef>
          </c:tx>
          <c:xVal>
            <c:numRef>
              <c:f>Расчет!$J$4:$J$5</c:f>
              <c:numCache>
                <c:formatCode>General</c:formatCode>
                <c:ptCount val="2"/>
                <c:pt idx="0">
                  <c:v>2000</c:v>
                </c:pt>
                <c:pt idx="1">
                  <c:v>10000</c:v>
                </c:pt>
              </c:numCache>
            </c:numRef>
          </c:xVal>
          <c:yVal>
            <c:numRef>
              <c:f>Расчет!$P$4:$P$5</c:f>
              <c:numCache>
                <c:formatCode>0</c:formatCode>
                <c:ptCount val="2"/>
                <c:pt idx="0">
                  <c:v>8</c:v>
                </c:pt>
                <c:pt idx="1">
                  <c:v>10</c:v>
                </c:pt>
              </c:numCache>
            </c:numRef>
          </c:yVal>
          <c:smooth val="0"/>
          <c:extLst>
            <c:ext xmlns:c16="http://schemas.microsoft.com/office/drawing/2014/chart" uri="{C3380CC4-5D6E-409C-BE32-E72D297353CC}">
              <c16:uniqueId val="{00000003-D24E-4EEA-ADA3-390CB625C66C}"/>
            </c:ext>
          </c:extLst>
        </c:ser>
        <c:ser>
          <c:idx val="4"/>
          <c:order val="4"/>
          <c:tx>
            <c:strRef>
              <c:f>Расчет!$Q$3</c:f>
              <c:strCache>
                <c:ptCount val="1"/>
                <c:pt idx="0">
                  <c:v>1800</c:v>
                </c:pt>
              </c:strCache>
            </c:strRef>
          </c:tx>
          <c:xVal>
            <c:numRef>
              <c:f>Расчет!$J$4:$J$5</c:f>
              <c:numCache>
                <c:formatCode>General</c:formatCode>
                <c:ptCount val="2"/>
                <c:pt idx="0">
                  <c:v>2000</c:v>
                </c:pt>
                <c:pt idx="1">
                  <c:v>10000</c:v>
                </c:pt>
              </c:numCache>
            </c:numRef>
          </c:xVal>
          <c:yVal>
            <c:numRef>
              <c:f>Расчет!$Q$4:$Q$5</c:f>
              <c:numCache>
                <c:formatCode>0</c:formatCode>
                <c:ptCount val="2"/>
                <c:pt idx="0">
                  <c:v>9</c:v>
                </c:pt>
                <c:pt idx="1">
                  <c:v>11</c:v>
                </c:pt>
              </c:numCache>
            </c:numRef>
          </c:yVal>
          <c:smooth val="0"/>
          <c:extLst>
            <c:ext xmlns:c16="http://schemas.microsoft.com/office/drawing/2014/chart" uri="{C3380CC4-5D6E-409C-BE32-E72D297353CC}">
              <c16:uniqueId val="{00000004-D24E-4EEA-ADA3-390CB625C66C}"/>
            </c:ext>
          </c:extLst>
        </c:ser>
        <c:ser>
          <c:idx val="5"/>
          <c:order val="5"/>
          <c:tx>
            <c:strRef>
              <c:f>Расчет!$R$3</c:f>
              <c:strCache>
                <c:ptCount val="1"/>
                <c:pt idx="0">
                  <c:v>2000</c:v>
                </c:pt>
              </c:strCache>
            </c:strRef>
          </c:tx>
          <c:xVal>
            <c:numRef>
              <c:f>Расчет!$J$4:$J$5</c:f>
              <c:numCache>
                <c:formatCode>General</c:formatCode>
                <c:ptCount val="2"/>
                <c:pt idx="0">
                  <c:v>2000</c:v>
                </c:pt>
                <c:pt idx="1">
                  <c:v>10000</c:v>
                </c:pt>
              </c:numCache>
            </c:numRef>
          </c:xVal>
          <c:yVal>
            <c:numRef>
              <c:f>Расчет!$R$4:$R$5</c:f>
              <c:numCache>
                <c:formatCode>0</c:formatCode>
                <c:ptCount val="2"/>
                <c:pt idx="0">
                  <c:v>10</c:v>
                </c:pt>
                <c:pt idx="1">
                  <c:v>13</c:v>
                </c:pt>
              </c:numCache>
            </c:numRef>
          </c:yVal>
          <c:smooth val="0"/>
          <c:extLst>
            <c:ext xmlns:c16="http://schemas.microsoft.com/office/drawing/2014/chart" uri="{C3380CC4-5D6E-409C-BE32-E72D297353CC}">
              <c16:uniqueId val="{00000005-D24E-4EEA-ADA3-390CB625C66C}"/>
            </c:ext>
          </c:extLst>
        </c:ser>
        <c:ser>
          <c:idx val="10"/>
          <c:order val="6"/>
          <c:tx>
            <c:strRef>
              <c:f>Расчет!$S$3</c:f>
              <c:strCache>
                <c:ptCount val="1"/>
                <c:pt idx="0">
                  <c:v>2200</c:v>
                </c:pt>
              </c:strCache>
            </c:strRef>
          </c:tx>
          <c:xVal>
            <c:numRef>
              <c:f>Расчет!$J$4:$J$5</c:f>
              <c:numCache>
                <c:formatCode>General</c:formatCode>
                <c:ptCount val="2"/>
                <c:pt idx="0">
                  <c:v>2000</c:v>
                </c:pt>
                <c:pt idx="1">
                  <c:v>10000</c:v>
                </c:pt>
              </c:numCache>
            </c:numRef>
          </c:xVal>
          <c:yVal>
            <c:numRef>
              <c:f>Расчет!$S$4:$S$5</c:f>
              <c:numCache>
                <c:formatCode>0</c:formatCode>
                <c:ptCount val="2"/>
                <c:pt idx="0">
                  <c:v>10</c:v>
                </c:pt>
                <c:pt idx="1">
                  <c:v>13</c:v>
                </c:pt>
              </c:numCache>
            </c:numRef>
          </c:yVal>
          <c:smooth val="0"/>
          <c:extLst>
            <c:ext xmlns:c16="http://schemas.microsoft.com/office/drawing/2014/chart" uri="{C3380CC4-5D6E-409C-BE32-E72D297353CC}">
              <c16:uniqueId val="{00000006-D24E-4EEA-ADA3-390CB625C66C}"/>
            </c:ext>
          </c:extLst>
        </c:ser>
        <c:ser>
          <c:idx val="6"/>
          <c:order val="7"/>
          <c:tx>
            <c:strRef>
              <c:f>Расчет!$T$3</c:f>
              <c:strCache>
                <c:ptCount val="1"/>
                <c:pt idx="0">
                  <c:v>2400</c:v>
                </c:pt>
              </c:strCache>
            </c:strRef>
          </c:tx>
          <c:xVal>
            <c:numRef>
              <c:f>Расчет!$J$4:$J$5</c:f>
              <c:numCache>
                <c:formatCode>General</c:formatCode>
                <c:ptCount val="2"/>
                <c:pt idx="0">
                  <c:v>2000</c:v>
                </c:pt>
                <c:pt idx="1">
                  <c:v>10000</c:v>
                </c:pt>
              </c:numCache>
            </c:numRef>
          </c:xVal>
          <c:yVal>
            <c:numRef>
              <c:f>Расчет!$T$4:$T$5</c:f>
              <c:numCache>
                <c:formatCode>0</c:formatCode>
                <c:ptCount val="2"/>
                <c:pt idx="0">
                  <c:v>12</c:v>
                </c:pt>
                <c:pt idx="1">
                  <c:v>15</c:v>
                </c:pt>
              </c:numCache>
            </c:numRef>
          </c:yVal>
          <c:smooth val="0"/>
          <c:extLst>
            <c:ext xmlns:c16="http://schemas.microsoft.com/office/drawing/2014/chart" uri="{C3380CC4-5D6E-409C-BE32-E72D297353CC}">
              <c16:uniqueId val="{00000007-D24E-4EEA-ADA3-390CB625C66C}"/>
            </c:ext>
          </c:extLst>
        </c:ser>
        <c:ser>
          <c:idx val="7"/>
          <c:order val="8"/>
          <c:tx>
            <c:strRef>
              <c:f>Расчет!$V$3</c:f>
              <c:strCache>
                <c:ptCount val="1"/>
                <c:pt idx="0">
                  <c:v>2600</c:v>
                </c:pt>
              </c:strCache>
            </c:strRef>
          </c:tx>
          <c:xVal>
            <c:numRef>
              <c:f>Расчет!$J$4:$J$5</c:f>
              <c:numCache>
                <c:formatCode>General</c:formatCode>
                <c:ptCount val="2"/>
                <c:pt idx="0">
                  <c:v>2000</c:v>
                </c:pt>
                <c:pt idx="1">
                  <c:v>10000</c:v>
                </c:pt>
              </c:numCache>
            </c:numRef>
          </c:xVal>
          <c:yVal>
            <c:numRef>
              <c:f>Расчет!$V$4:$V$5</c:f>
              <c:numCache>
                <c:formatCode>0</c:formatCode>
                <c:ptCount val="2"/>
                <c:pt idx="0">
                  <c:v>12</c:v>
                </c:pt>
                <c:pt idx="1">
                  <c:v>15</c:v>
                </c:pt>
              </c:numCache>
            </c:numRef>
          </c:yVal>
          <c:smooth val="0"/>
          <c:extLst>
            <c:ext xmlns:c16="http://schemas.microsoft.com/office/drawing/2014/chart" uri="{C3380CC4-5D6E-409C-BE32-E72D297353CC}">
              <c16:uniqueId val="{00000008-D24E-4EEA-ADA3-390CB625C66C}"/>
            </c:ext>
          </c:extLst>
        </c:ser>
        <c:ser>
          <c:idx val="8"/>
          <c:order val="9"/>
          <c:tx>
            <c:strRef>
              <c:f>Расчет!$X$3</c:f>
              <c:strCache>
                <c:ptCount val="1"/>
                <c:pt idx="0">
                  <c:v>3000</c:v>
                </c:pt>
              </c:strCache>
            </c:strRef>
          </c:tx>
          <c:xVal>
            <c:numRef>
              <c:f>Расчет!$J$4:$J$5</c:f>
              <c:numCache>
                <c:formatCode>General</c:formatCode>
                <c:ptCount val="2"/>
                <c:pt idx="0">
                  <c:v>2000</c:v>
                </c:pt>
                <c:pt idx="1">
                  <c:v>10000</c:v>
                </c:pt>
              </c:numCache>
            </c:numRef>
          </c:xVal>
          <c:yVal>
            <c:numRef>
              <c:f>Расчет!$X$4:$X$5</c:f>
              <c:numCache>
                <c:formatCode>0</c:formatCode>
                <c:ptCount val="2"/>
                <c:pt idx="0">
                  <c:v>15</c:v>
                </c:pt>
                <c:pt idx="1">
                  <c:v>18</c:v>
                </c:pt>
              </c:numCache>
            </c:numRef>
          </c:yVal>
          <c:smooth val="0"/>
          <c:extLst>
            <c:ext xmlns:c16="http://schemas.microsoft.com/office/drawing/2014/chart" uri="{C3380CC4-5D6E-409C-BE32-E72D297353CC}">
              <c16:uniqueId val="{00000009-D24E-4EEA-ADA3-390CB625C66C}"/>
            </c:ext>
          </c:extLst>
        </c:ser>
        <c:ser>
          <c:idx val="9"/>
          <c:order val="10"/>
          <c:tx>
            <c:strRef>
              <c:f>Расчет!$Y$3</c:f>
              <c:strCache>
                <c:ptCount val="1"/>
                <c:pt idx="0">
                  <c:v>3200</c:v>
                </c:pt>
              </c:strCache>
            </c:strRef>
          </c:tx>
          <c:xVal>
            <c:numRef>
              <c:f>Расчет!$J$4:$J$5</c:f>
              <c:numCache>
                <c:formatCode>General</c:formatCode>
                <c:ptCount val="2"/>
                <c:pt idx="0">
                  <c:v>2000</c:v>
                </c:pt>
                <c:pt idx="1">
                  <c:v>10000</c:v>
                </c:pt>
              </c:numCache>
            </c:numRef>
          </c:xVal>
          <c:yVal>
            <c:numRef>
              <c:f>Расчет!$Y$4:$Y$5</c:f>
              <c:numCache>
                <c:formatCode>0</c:formatCode>
                <c:ptCount val="2"/>
                <c:pt idx="0">
                  <c:v>15</c:v>
                </c:pt>
                <c:pt idx="1">
                  <c:v>18</c:v>
                </c:pt>
              </c:numCache>
            </c:numRef>
          </c:yVal>
          <c:smooth val="0"/>
          <c:extLst>
            <c:ext xmlns:c16="http://schemas.microsoft.com/office/drawing/2014/chart" uri="{C3380CC4-5D6E-409C-BE32-E72D297353CC}">
              <c16:uniqueId val="{0000000A-D24E-4EEA-ADA3-390CB625C66C}"/>
            </c:ext>
          </c:extLst>
        </c:ser>
        <c:ser>
          <c:idx val="11"/>
          <c:order val="11"/>
          <c:tx>
            <c:strRef>
              <c:f>Расчет!$Z$3</c:f>
              <c:strCache>
                <c:ptCount val="1"/>
                <c:pt idx="0">
                  <c:v>3500</c:v>
                </c:pt>
              </c:strCache>
            </c:strRef>
          </c:tx>
          <c:xVal>
            <c:numRef>
              <c:f>Расчет!$J$4:$J$5</c:f>
              <c:numCache>
                <c:formatCode>General</c:formatCode>
                <c:ptCount val="2"/>
                <c:pt idx="0">
                  <c:v>2000</c:v>
                </c:pt>
                <c:pt idx="1">
                  <c:v>10000</c:v>
                </c:pt>
              </c:numCache>
            </c:numRef>
          </c:xVal>
          <c:yVal>
            <c:numRef>
              <c:f>Расчет!$Z$4:$Z$5</c:f>
              <c:numCache>
                <c:formatCode>0</c:formatCode>
                <c:ptCount val="2"/>
                <c:pt idx="0">
                  <c:v>16</c:v>
                </c:pt>
                <c:pt idx="1">
                  <c:v>19</c:v>
                </c:pt>
              </c:numCache>
            </c:numRef>
          </c:yVal>
          <c:smooth val="0"/>
          <c:extLst>
            <c:ext xmlns:c16="http://schemas.microsoft.com/office/drawing/2014/chart" uri="{C3380CC4-5D6E-409C-BE32-E72D297353CC}">
              <c16:uniqueId val="{0000000B-D24E-4EEA-ADA3-390CB625C66C}"/>
            </c:ext>
          </c:extLst>
        </c:ser>
        <c:ser>
          <c:idx val="12"/>
          <c:order val="12"/>
          <c:tx>
            <c:strRef>
              <c:f>Расчет!$AA$3</c:f>
              <c:strCache>
                <c:ptCount val="1"/>
                <c:pt idx="0">
                  <c:v>3600</c:v>
                </c:pt>
              </c:strCache>
            </c:strRef>
          </c:tx>
          <c:xVal>
            <c:numRef>
              <c:f>Расчет!$J$4:$J$5</c:f>
              <c:numCache>
                <c:formatCode>General</c:formatCode>
                <c:ptCount val="2"/>
                <c:pt idx="0">
                  <c:v>2000</c:v>
                </c:pt>
                <c:pt idx="1">
                  <c:v>10000</c:v>
                </c:pt>
              </c:numCache>
            </c:numRef>
          </c:xVal>
          <c:yVal>
            <c:numRef>
              <c:f>Расчет!$AA$4:$AA$5</c:f>
              <c:numCache>
                <c:formatCode>0</c:formatCode>
                <c:ptCount val="2"/>
                <c:pt idx="0">
                  <c:v>16</c:v>
                </c:pt>
                <c:pt idx="1">
                  <c:v>19</c:v>
                </c:pt>
              </c:numCache>
            </c:numRef>
          </c:yVal>
          <c:smooth val="0"/>
          <c:extLst>
            <c:ext xmlns:c16="http://schemas.microsoft.com/office/drawing/2014/chart" uri="{C3380CC4-5D6E-409C-BE32-E72D297353CC}">
              <c16:uniqueId val="{0000000C-D24E-4EEA-ADA3-390CB625C66C}"/>
            </c:ext>
          </c:extLst>
        </c:ser>
        <c:ser>
          <c:idx val="13"/>
          <c:order val="13"/>
          <c:tx>
            <c:strRef>
              <c:f>Расчет!$AB$3</c:f>
              <c:strCache>
                <c:ptCount val="1"/>
                <c:pt idx="0">
                  <c:v>4000</c:v>
                </c:pt>
              </c:strCache>
            </c:strRef>
          </c:tx>
          <c:xVal>
            <c:numRef>
              <c:f>Расчет!$J$4:$J$5</c:f>
              <c:numCache>
                <c:formatCode>General</c:formatCode>
                <c:ptCount val="2"/>
                <c:pt idx="0">
                  <c:v>2000</c:v>
                </c:pt>
                <c:pt idx="1">
                  <c:v>10000</c:v>
                </c:pt>
              </c:numCache>
            </c:numRef>
          </c:xVal>
          <c:yVal>
            <c:numRef>
              <c:f>Расчет!$AB$4:$AB$5</c:f>
              <c:numCache>
                <c:formatCode>0</c:formatCode>
                <c:ptCount val="2"/>
                <c:pt idx="0">
                  <c:v>18</c:v>
                </c:pt>
                <c:pt idx="1">
                  <c:v>22</c:v>
                </c:pt>
              </c:numCache>
            </c:numRef>
          </c:yVal>
          <c:smooth val="0"/>
          <c:extLst>
            <c:ext xmlns:c16="http://schemas.microsoft.com/office/drawing/2014/chart" uri="{C3380CC4-5D6E-409C-BE32-E72D297353CC}">
              <c16:uniqueId val="{0000000D-D24E-4EEA-ADA3-390CB625C66C}"/>
            </c:ext>
          </c:extLst>
        </c:ser>
        <c:ser>
          <c:idx val="14"/>
          <c:order val="14"/>
          <c:tx>
            <c:strRef>
              <c:f>Расчет!$AC$3</c:f>
              <c:strCache>
                <c:ptCount val="1"/>
                <c:pt idx="0">
                  <c:v>4200</c:v>
                </c:pt>
              </c:strCache>
            </c:strRef>
          </c:tx>
          <c:xVal>
            <c:numRef>
              <c:f>Расчет!$J$4:$J$5</c:f>
              <c:numCache>
                <c:formatCode>General</c:formatCode>
                <c:ptCount val="2"/>
                <c:pt idx="0">
                  <c:v>2000</c:v>
                </c:pt>
                <c:pt idx="1">
                  <c:v>10000</c:v>
                </c:pt>
              </c:numCache>
            </c:numRef>
          </c:xVal>
          <c:yVal>
            <c:numRef>
              <c:f>Расчет!$AC$4:$AC$5</c:f>
              <c:numCache>
                <c:formatCode>General</c:formatCode>
                <c:ptCount val="2"/>
                <c:pt idx="0">
                  <c:v>18</c:v>
                </c:pt>
                <c:pt idx="1">
                  <c:v>22</c:v>
                </c:pt>
              </c:numCache>
            </c:numRef>
          </c:yVal>
          <c:smooth val="0"/>
          <c:extLst>
            <c:ext xmlns:c16="http://schemas.microsoft.com/office/drawing/2014/chart" uri="{C3380CC4-5D6E-409C-BE32-E72D297353CC}">
              <c16:uniqueId val="{0000000E-D24E-4EEA-ADA3-390CB625C66C}"/>
            </c:ext>
          </c:extLst>
        </c:ser>
        <c:dLbls>
          <c:showLegendKey val="0"/>
          <c:showVal val="0"/>
          <c:showCatName val="0"/>
          <c:showSerName val="0"/>
          <c:showPercent val="0"/>
          <c:showBubbleSize val="0"/>
        </c:dLbls>
        <c:axId val="917813232"/>
        <c:axId val="917814320"/>
      </c:scatterChart>
      <c:valAx>
        <c:axId val="917813232"/>
        <c:scaling>
          <c:orientation val="minMax"/>
          <c:max val="10000"/>
          <c:min val="2000"/>
        </c:scaling>
        <c:delete val="0"/>
        <c:axPos val="b"/>
        <c:majorGridlines/>
        <c:numFmt formatCode="General" sourceLinked="1"/>
        <c:majorTickMark val="out"/>
        <c:minorTickMark val="none"/>
        <c:tickLblPos val="nextTo"/>
        <c:spPr>
          <a:ln>
            <a:solidFill>
              <a:schemeClr val="accent1"/>
            </a:solidFill>
          </a:ln>
        </c:spPr>
        <c:crossAx val="917814320"/>
        <c:crosses val="autoZero"/>
        <c:crossBetween val="midCat"/>
        <c:majorUnit val="1000"/>
      </c:valAx>
      <c:valAx>
        <c:axId val="917814320"/>
        <c:scaling>
          <c:orientation val="minMax"/>
          <c:min val="5"/>
        </c:scaling>
        <c:delete val="0"/>
        <c:axPos val="l"/>
        <c:majorGridlines/>
        <c:numFmt formatCode="0" sourceLinked="1"/>
        <c:majorTickMark val="out"/>
        <c:minorTickMark val="none"/>
        <c:tickLblPos val="nextTo"/>
        <c:crossAx val="917813232"/>
        <c:crosses val="autoZero"/>
        <c:crossBetween val="midCat"/>
        <c:majorUnit val="1"/>
      </c:valAx>
    </c:plotArea>
    <c:legend>
      <c:legendPos val="r"/>
      <c:overlay val="0"/>
    </c:legend>
    <c:plotVisOnly val="1"/>
    <c:dispBlanksAs val="gap"/>
    <c:showDLblsOverMax val="0"/>
  </c:chart>
  <c:printSettings>
    <c:headerFooter/>
    <c:pageMargins b="0.75000000000001033" l="0.70000000000000062" r="0.70000000000000062" t="0.750000000000010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73840769904087"/>
          <c:y val="5.5631224081372881E-2"/>
          <c:w val="0.66994203849520728"/>
          <c:h val="0.85738003156439868"/>
        </c:manualLayout>
      </c:layout>
      <c:lineChart>
        <c:grouping val="standard"/>
        <c:varyColors val="0"/>
        <c:ser>
          <c:idx val="0"/>
          <c:order val="0"/>
          <c:marker>
            <c:symbol val="none"/>
          </c:marker>
          <c:cat>
            <c:numRef>
              <c:f>Прайс!$G$22:$G$39</c:f>
              <c:numCache>
                <c:formatCode>General</c:formatCode>
                <c:ptCount val="18"/>
                <c:pt idx="0">
                  <c:v>0</c:v>
                </c:pt>
                <c:pt idx="1">
                  <c:v>4</c:v>
                </c:pt>
                <c:pt idx="2">
                  <c:v>6</c:v>
                </c:pt>
                <c:pt idx="3">
                  <c:v>8</c:v>
                </c:pt>
                <c:pt idx="4">
                  <c:v>11</c:v>
                </c:pt>
                <c:pt idx="5">
                  <c:v>15</c:v>
                </c:pt>
                <c:pt idx="6">
                  <c:v>19</c:v>
                </c:pt>
                <c:pt idx="7">
                  <c:v>22</c:v>
                </c:pt>
                <c:pt idx="8">
                  <c:v>30</c:v>
                </c:pt>
                <c:pt idx="9">
                  <c:v>37</c:v>
                </c:pt>
                <c:pt idx="10">
                  <c:v>45</c:v>
                </c:pt>
                <c:pt idx="11">
                  <c:v>55</c:v>
                </c:pt>
                <c:pt idx="12">
                  <c:v>75</c:v>
                </c:pt>
                <c:pt idx="13">
                  <c:v>90</c:v>
                </c:pt>
                <c:pt idx="14">
                  <c:v>110</c:v>
                </c:pt>
                <c:pt idx="15">
                  <c:v>132</c:v>
                </c:pt>
                <c:pt idx="16">
                  <c:v>160</c:v>
                </c:pt>
                <c:pt idx="17">
                  <c:v>200</c:v>
                </c:pt>
              </c:numCache>
            </c:numRef>
          </c:cat>
          <c:val>
            <c:numRef>
              <c:f>Прайс!$H$22:$H$38</c:f>
              <c:numCache>
                <c:formatCode>General</c:formatCode>
                <c:ptCount val="17"/>
                <c:pt idx="0">
                  <c:v>100000</c:v>
                </c:pt>
                <c:pt idx="1">
                  <c:v>120000</c:v>
                </c:pt>
                <c:pt idx="2">
                  <c:v>140000</c:v>
                </c:pt>
                <c:pt idx="3">
                  <c:v>170000</c:v>
                </c:pt>
                <c:pt idx="4">
                  <c:v>200000</c:v>
                </c:pt>
                <c:pt idx="5">
                  <c:v>230000</c:v>
                </c:pt>
                <c:pt idx="6">
                  <c:v>270000</c:v>
                </c:pt>
                <c:pt idx="7">
                  <c:v>320000</c:v>
                </c:pt>
                <c:pt idx="8">
                  <c:v>380000</c:v>
                </c:pt>
                <c:pt idx="9">
                  <c:v>450000</c:v>
                </c:pt>
                <c:pt idx="10">
                  <c:v>550000</c:v>
                </c:pt>
                <c:pt idx="11">
                  <c:v>700000</c:v>
                </c:pt>
                <c:pt idx="12">
                  <c:v>850000</c:v>
                </c:pt>
                <c:pt idx="13">
                  <c:v>1100000</c:v>
                </c:pt>
                <c:pt idx="14">
                  <c:v>1500000</c:v>
                </c:pt>
                <c:pt idx="15">
                  <c:v>1700000</c:v>
                </c:pt>
                <c:pt idx="16">
                  <c:v>1900000</c:v>
                </c:pt>
              </c:numCache>
            </c:numRef>
          </c:val>
          <c:smooth val="0"/>
          <c:extLst>
            <c:ext xmlns:c16="http://schemas.microsoft.com/office/drawing/2014/chart" uri="{C3380CC4-5D6E-409C-BE32-E72D297353CC}">
              <c16:uniqueId val="{00000000-4858-40F4-9E5B-B316F54D193A}"/>
            </c:ext>
          </c:extLst>
        </c:ser>
        <c:dLbls>
          <c:showLegendKey val="0"/>
          <c:showVal val="0"/>
          <c:showCatName val="0"/>
          <c:showSerName val="0"/>
          <c:showPercent val="0"/>
          <c:showBubbleSize val="0"/>
        </c:dLbls>
        <c:smooth val="0"/>
        <c:axId val="917816496"/>
        <c:axId val="917817040"/>
      </c:lineChart>
      <c:catAx>
        <c:axId val="917816496"/>
        <c:scaling>
          <c:orientation val="minMax"/>
        </c:scaling>
        <c:delete val="0"/>
        <c:axPos val="b"/>
        <c:numFmt formatCode="General" sourceLinked="1"/>
        <c:majorTickMark val="out"/>
        <c:minorTickMark val="none"/>
        <c:tickLblPos val="nextTo"/>
        <c:crossAx val="917817040"/>
        <c:crosses val="autoZero"/>
        <c:auto val="1"/>
        <c:lblAlgn val="ctr"/>
        <c:lblOffset val="100"/>
        <c:noMultiLvlLbl val="0"/>
      </c:catAx>
      <c:valAx>
        <c:axId val="917817040"/>
        <c:scaling>
          <c:orientation val="minMax"/>
        </c:scaling>
        <c:delete val="0"/>
        <c:axPos val="l"/>
        <c:majorGridlines/>
        <c:numFmt formatCode="General" sourceLinked="1"/>
        <c:majorTickMark val="out"/>
        <c:minorTickMark val="none"/>
        <c:tickLblPos val="nextTo"/>
        <c:crossAx val="917816496"/>
        <c:crosses val="autoZero"/>
        <c:crossBetween val="between"/>
      </c:valAx>
    </c:plotArea>
    <c:legend>
      <c:legendPos val="r"/>
      <c:overlay val="0"/>
    </c:legend>
    <c:plotVisOnly val="1"/>
    <c:dispBlanksAs val="gap"/>
    <c:showDLblsOverMax val="0"/>
  </c:chart>
  <c:printSettings>
    <c:headerFooter/>
    <c:pageMargins b="0.75000000000000955" l="0.70000000000000062" r="0.70000000000000062" t="0.750000000000009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190499</xdr:colOff>
      <xdr:row>8</xdr:row>
      <xdr:rowOff>46832</xdr:rowOff>
    </xdr:from>
    <xdr:to>
      <xdr:col>28</xdr:col>
      <xdr:colOff>583405</xdr:colOff>
      <xdr:row>37</xdr:row>
      <xdr:rowOff>27782</xdr:rowOff>
    </xdr:to>
    <xdr:graphicFrame macro="">
      <xdr:nvGraphicFramePr>
        <xdr:cNvPr id="7" name="Диаграмма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4</xdr:col>
      <xdr:colOff>419100</xdr:colOff>
      <xdr:row>4</xdr:row>
      <xdr:rowOff>38100</xdr:rowOff>
    </xdr:to>
    <xdr:pic>
      <xdr:nvPicPr>
        <xdr:cNvPr id="4" name="Рисунок 3" descr="logo-small.png">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stretch>
          <a:fillRect/>
        </a:stretch>
      </xdr:blipFill>
      <xdr:spPr>
        <a:xfrm>
          <a:off x="85725" y="0"/>
          <a:ext cx="1971675" cy="63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xdr:colOff>
      <xdr:row>20</xdr:row>
      <xdr:rowOff>190499</xdr:rowOff>
    </xdr:from>
    <xdr:to>
      <xdr:col>20</xdr:col>
      <xdr:colOff>0</xdr:colOff>
      <xdr:row>38</xdr:row>
      <xdr:rowOff>171450</xdr:rowOff>
    </xdr:to>
    <xdr:graphicFrame macro="">
      <xdr:nvGraphicFramePr>
        <xdr:cNvPr id="2" name="Диаграмма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ates" refreshOnLoad="1" connectionId="1" xr16:uid="{00000000-0016-0000-06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www.interfax.ru" connectionId="2" xr16:uid="{00000000-0016-0000-0600-000000000000}"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ХЗ" displayName="ХЗ" ref="A62:A69" totalsRowShown="0" headerRowDxfId="16" dataDxfId="15">
  <autoFilter ref="A62:A69" xr:uid="{00000000-0009-0000-0100-000002000000}">
    <filterColumn colId="0">
      <filters>
        <filter val="КНС"/>
      </filters>
    </filterColumn>
  </autoFilter>
  <sortState xmlns:xlrd2="http://schemas.microsoft.com/office/spreadsheetml/2017/richdata2" ref="A56:A60">
    <sortCondition ref="A55:A60"/>
  </sortState>
  <tableColumns count="1">
    <tableColumn id="1" xr3:uid="{00000000-0010-0000-0100-000001000000}" name="F2"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Дилер10" displayName="Дилер10" ref="A1:G36" totalsRowShown="0" headerRowDxfId="12">
  <autoFilter ref="A1:G36" xr:uid="{00000000-0009-0000-0100-000009000000}"/>
  <sortState xmlns:xlrd2="http://schemas.microsoft.com/office/spreadsheetml/2017/richdata2" ref="A2:G36">
    <sortCondition ref="A1:A36"/>
  </sortState>
  <tableColumns count="7">
    <tableColumn id="1" xr3:uid="{00000000-0010-0000-0000-000001000000}" name="Дилер"/>
    <tableColumn id="2" xr3:uid="{00000000-0010-0000-0000-000002000000}" name="%" dataDxfId="11"/>
    <tableColumn id="3" xr3:uid="{00000000-0010-0000-0000-000003000000}" name="Адрес"/>
    <tableColumn id="4" xr3:uid="{00000000-0010-0000-0000-000004000000}" name="Контактное лицо"/>
    <tableColumn id="5" xr3:uid="{00000000-0010-0000-0000-000005000000}" name="Офис"/>
    <tableColumn id="7" xr3:uid="{00000000-0010-0000-0000-000007000000}" name="email"/>
    <tableColumn id="6" xr3:uid="{00000000-0010-0000-0000-000006000000}" name="Мобильный" dataDxfId="1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Трубы" displayName="Трубы" ref="A5:A19" totalsRowShown="0" headerRowDxfId="9" dataDxfId="8">
  <autoFilter ref="A5:A19" xr:uid="{00000000-0009-0000-0100-000003000000}"/>
  <tableColumns count="1">
    <tableColumn id="1" xr3:uid="{00000000-0010-0000-0200-000001000000}" name="DN" dataDxfId="7"/>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Утепление" displayName="Утепление" ref="B40:B48" totalsRowShown="0">
  <autoFilter ref="B40:B48" xr:uid="{00000000-0009-0000-0100-000004000000}"/>
  <tableColumns count="1">
    <tableColumn id="1" xr3:uid="{00000000-0010-0000-0300-000001000000}" name="Утепление"/>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Шибер" displayName="Шибер" ref="D43:D60" totalsRowShown="0" headerRowDxfId="6" dataDxfId="5">
  <autoFilter ref="D43:D60" xr:uid="{00000000-0009-0000-0100-000006000000}"/>
  <tableColumns count="1">
    <tableColumn id="1" xr3:uid="{00000000-0010-0000-0400-000001000000}" name="Вход"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Выход" displayName="Выход" ref="G6:G19" headerRowCount="0" totalsRowShown="0" headerRowDxfId="3" dataDxfId="2">
  <tableColumns count="1">
    <tableColumn id="1" xr3:uid="{00000000-0010-0000-0500-000001000000}" name="25" headerRowDxfId="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mailto:pvv@prg.spb.ru" TargetMode="External"/><Relationship Id="rId1" Type="http://schemas.openxmlformats.org/officeDocument/2006/relationships/hyperlink" Target="mailto:denis@icaplast.ru"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AH37"/>
  <sheetViews>
    <sheetView workbookViewId="0">
      <selection activeCell="J9" sqref="J9"/>
    </sheetView>
  </sheetViews>
  <sheetFormatPr defaultRowHeight="15"/>
  <cols>
    <col min="1" max="1" width="8" style="50" customWidth="1"/>
    <col min="2" max="2" width="31.5703125" style="51" customWidth="1"/>
    <col min="3" max="3" width="21.7109375" style="51" bestFit="1" customWidth="1"/>
    <col min="4" max="4" width="10.140625" style="50" customWidth="1"/>
    <col min="5" max="6" width="3.7109375" style="51" customWidth="1"/>
    <col min="7" max="7" width="14.140625" style="51" customWidth="1"/>
    <col min="8" max="8" width="6.5703125" style="51" customWidth="1"/>
    <col min="9" max="9" width="2.140625" style="51" customWidth="1"/>
    <col min="10" max="10" width="10.140625" style="51" customWidth="1"/>
    <col min="11" max="11" width="13.7109375" style="51" customWidth="1"/>
    <col min="12" max="12" width="10.7109375" style="51" customWidth="1"/>
    <col min="13" max="13" width="17.5703125" style="51" bestFit="1" customWidth="1"/>
    <col min="14" max="15" width="9.140625" style="51"/>
    <col min="16" max="16" width="10" style="51" customWidth="1"/>
    <col min="17" max="16384" width="9.140625" style="51"/>
  </cols>
  <sheetData>
    <row r="1" spans="1:14" ht="15.75" thickBot="1">
      <c r="A1" s="95"/>
      <c r="B1" s="96"/>
      <c r="C1" s="96"/>
      <c r="D1" s="95"/>
      <c r="E1" s="96"/>
      <c r="F1" s="96"/>
      <c r="G1" s="96"/>
      <c r="H1" s="96"/>
      <c r="I1" s="96"/>
      <c r="J1" s="96"/>
      <c r="K1" s="96"/>
      <c r="L1" s="96"/>
      <c r="M1" s="96"/>
      <c r="N1" s="96"/>
    </row>
    <row r="2" spans="1:14" s="52" customFormat="1" ht="15.75" customHeight="1" thickBot="1">
      <c r="A2" s="97"/>
      <c r="B2" s="97" t="s">
        <v>117</v>
      </c>
      <c r="C2" s="266" t="s">
        <v>287</v>
      </c>
      <c r="D2" s="266"/>
      <c r="E2" s="98"/>
      <c r="F2" s="98"/>
      <c r="G2" s="98"/>
      <c r="H2" s="98"/>
      <c r="I2" s="98"/>
      <c r="J2" s="99" t="s">
        <v>6</v>
      </c>
      <c r="K2" s="282"/>
      <c r="L2" s="283"/>
      <c r="M2" s="100" t="s">
        <v>72</v>
      </c>
      <c r="N2" s="98"/>
    </row>
    <row r="3" spans="1:14" ht="15" customHeight="1">
      <c r="A3" s="95"/>
      <c r="B3" s="101">
        <f>Лист4!D14</f>
        <v>910037</v>
      </c>
      <c r="C3" s="266"/>
      <c r="D3" s="266"/>
      <c r="E3" s="96"/>
      <c r="F3" s="96"/>
      <c r="G3" s="96"/>
      <c r="H3" s="96"/>
      <c r="I3" s="96"/>
      <c r="J3" s="102" t="s">
        <v>7</v>
      </c>
      <c r="K3" s="284" t="str">
        <f>IFERROR(VLOOKUP(K7,Заказчики!A:A:'Заказчики'!H:H,4),"")</f>
        <v/>
      </c>
      <c r="L3" s="285"/>
      <c r="M3" s="103">
        <f ca="1">Расчет!F9</f>
        <v>44117</v>
      </c>
      <c r="N3" s="96"/>
    </row>
    <row r="4" spans="1:14" ht="15.75" customHeight="1" thickBot="1">
      <c r="A4" s="95"/>
      <c r="B4" s="96"/>
      <c r="C4" s="96"/>
      <c r="D4" s="226">
        <v>200</v>
      </c>
      <c r="E4" s="96" t="s">
        <v>512</v>
      </c>
      <c r="F4" s="96"/>
      <c r="G4" s="96"/>
      <c r="H4" s="96"/>
      <c r="I4" s="96"/>
      <c r="J4" s="104"/>
      <c r="K4" s="286" t="str">
        <f>IFERROR(VLOOKUP(K7,Заказчики!A:A:'Заказчики'!H:H,5)," ")</f>
        <v xml:space="preserve"> </v>
      </c>
      <c r="L4" s="287"/>
      <c r="M4" s="105" t="s">
        <v>194</v>
      </c>
      <c r="N4" s="96"/>
    </row>
    <row r="5" spans="1:14" ht="15" customHeight="1">
      <c r="A5" s="106">
        <v>1</v>
      </c>
      <c r="B5" s="107" t="s">
        <v>0</v>
      </c>
      <c r="C5" s="108" t="s">
        <v>17</v>
      </c>
      <c r="D5" s="225">
        <v>2600</v>
      </c>
      <c r="E5" s="107" t="s">
        <v>5</v>
      </c>
      <c r="F5" s="148">
        <v>1</v>
      </c>
      <c r="G5" s="96" t="s">
        <v>123</v>
      </c>
      <c r="H5" s="96"/>
      <c r="I5" s="96"/>
      <c r="J5" s="104" t="s">
        <v>225</v>
      </c>
      <c r="K5" s="286" t="str">
        <f>IFERROR(VLOOKUP(K7,Заказчики!A:A:'Заказчики'!H:H,7),"")</f>
        <v/>
      </c>
      <c r="L5" s="287"/>
      <c r="M5" s="151" t="s">
        <v>298</v>
      </c>
      <c r="N5" s="96"/>
    </row>
    <row r="6" spans="1:14" ht="15" customHeight="1">
      <c r="A6" s="109"/>
      <c r="B6" s="110">
        <f ca="1">IF(Расчет!F11&lt;0,"",Расчет!F25)</f>
        <v>761148</v>
      </c>
      <c r="C6" s="111" t="s">
        <v>27</v>
      </c>
      <c r="D6" s="112">
        <f>IFERROR(Расчет!C11*1000,0)</f>
        <v>6100</v>
      </c>
      <c r="E6" s="113" t="s">
        <v>5</v>
      </c>
      <c r="F6" s="149">
        <f>F5</f>
        <v>1</v>
      </c>
      <c r="G6" s="96" t="s">
        <v>124</v>
      </c>
      <c r="H6" s="96"/>
      <c r="I6" s="96"/>
      <c r="J6" s="104" t="s">
        <v>8</v>
      </c>
      <c r="K6" s="286" t="str">
        <f>IFERROR(VLOOKUP(K7,Заказчики!A:A:'Заказчики'!H:H,6),"")</f>
        <v/>
      </c>
      <c r="L6" s="287"/>
      <c r="M6" s="105"/>
      <c r="N6" s="96"/>
    </row>
    <row r="7" spans="1:14" ht="15" customHeight="1">
      <c r="A7" s="109">
        <v>2</v>
      </c>
      <c r="B7" s="113" t="s">
        <v>441</v>
      </c>
      <c r="C7" s="113" t="s">
        <v>392</v>
      </c>
      <c r="D7" s="147">
        <v>0</v>
      </c>
      <c r="E7" s="113" t="s">
        <v>5</v>
      </c>
      <c r="F7" s="150"/>
      <c r="G7" s="96"/>
      <c r="H7" s="96"/>
      <c r="I7" s="96"/>
      <c r="J7" s="104" t="s">
        <v>9</v>
      </c>
      <c r="K7" s="273"/>
      <c r="L7" s="274"/>
      <c r="M7" s="105"/>
      <c r="N7" s="96"/>
    </row>
    <row r="8" spans="1:14" ht="15.75" customHeight="1" thickBot="1">
      <c r="A8" s="109">
        <v>3</v>
      </c>
      <c r="B8" s="113" t="s">
        <v>344</v>
      </c>
      <c r="C8" s="145" t="s">
        <v>449</v>
      </c>
      <c r="D8" s="152"/>
      <c r="E8" s="113"/>
      <c r="F8" s="150"/>
      <c r="G8" s="96"/>
      <c r="H8" s="96"/>
      <c r="I8" s="96"/>
      <c r="J8" s="115" t="s">
        <v>10</v>
      </c>
      <c r="K8" s="275" t="str">
        <f>IFERROR(VLOOKUP(K7,Заказчики!A:A:'Заказчики'!D:D,3),"")</f>
        <v/>
      </c>
      <c r="L8" s="276"/>
      <c r="M8" s="116"/>
      <c r="N8" s="96"/>
    </row>
    <row r="9" spans="1:14" ht="15.75">
      <c r="A9" s="109">
        <v>4</v>
      </c>
      <c r="B9" s="113" t="s">
        <v>2</v>
      </c>
      <c r="C9" s="117" t="s">
        <v>3</v>
      </c>
      <c r="D9" s="146">
        <v>300</v>
      </c>
      <c r="E9" s="118" t="s">
        <v>13</v>
      </c>
      <c r="F9" s="149">
        <v>1</v>
      </c>
      <c r="G9" s="120" t="s">
        <v>561</v>
      </c>
      <c r="H9" s="96"/>
      <c r="I9" s="96"/>
      <c r="J9" s="96"/>
      <c r="K9" s="96"/>
      <c r="L9" s="96"/>
      <c r="M9" s="96"/>
      <c r="N9" s="96"/>
    </row>
    <row r="10" spans="1:14" ht="15.75">
      <c r="A10" s="109"/>
      <c r="B10" s="113"/>
      <c r="C10" s="119" t="s">
        <v>4</v>
      </c>
      <c r="D10" s="146">
        <v>2000</v>
      </c>
      <c r="E10" s="113" t="s">
        <v>5</v>
      </c>
      <c r="F10" s="149">
        <v>0</v>
      </c>
      <c r="G10" s="96" t="s">
        <v>195</v>
      </c>
      <c r="H10" s="96"/>
      <c r="I10" s="96"/>
      <c r="J10" s="120"/>
      <c r="K10" s="120"/>
      <c r="L10" s="96"/>
      <c r="M10" s="96"/>
      <c r="N10" s="96"/>
    </row>
    <row r="11" spans="1:14" ht="15.75">
      <c r="A11" s="109">
        <v>5</v>
      </c>
      <c r="B11" s="253" t="s">
        <v>552</v>
      </c>
      <c r="C11" s="144" t="s">
        <v>81</v>
      </c>
      <c r="D11" s="146">
        <v>1</v>
      </c>
      <c r="E11" s="113"/>
      <c r="F11" s="149">
        <v>0</v>
      </c>
      <c r="G11" s="96" t="s">
        <v>425</v>
      </c>
      <c r="H11" s="96"/>
      <c r="I11" s="96"/>
      <c r="J11" s="120"/>
      <c r="K11" s="120"/>
      <c r="L11" s="96"/>
      <c r="M11" s="96"/>
      <c r="N11" s="96"/>
    </row>
    <row r="12" spans="1:14" ht="15.75">
      <c r="A12" s="109">
        <v>6</v>
      </c>
      <c r="B12" s="113" t="s">
        <v>60</v>
      </c>
      <c r="C12" s="144" t="s">
        <v>81</v>
      </c>
      <c r="D12" s="153"/>
      <c r="E12" s="118"/>
      <c r="F12" s="149"/>
      <c r="G12" s="96"/>
      <c r="H12" s="96"/>
      <c r="I12" s="96"/>
      <c r="J12" s="121" t="s">
        <v>75</v>
      </c>
      <c r="K12" s="121"/>
      <c r="L12" s="122">
        <f>IFERROR((Расчет!C5/((PI()*(D21/1000)^2)/4)/3600)/F16,0)</f>
        <v>99.029742368290428</v>
      </c>
      <c r="M12" s="96" t="s">
        <v>74</v>
      </c>
      <c r="N12" s="96"/>
    </row>
    <row r="13" spans="1:14" ht="15.75">
      <c r="A13" s="109">
        <v>7</v>
      </c>
      <c r="B13" s="113" t="s">
        <v>442</v>
      </c>
      <c r="C13" s="144" t="s">
        <v>324</v>
      </c>
      <c r="D13" s="146">
        <v>100</v>
      </c>
      <c r="E13" s="118" t="s">
        <v>13</v>
      </c>
      <c r="F13" s="254">
        <v>1</v>
      </c>
      <c r="G13" s="96" t="s">
        <v>199</v>
      </c>
      <c r="H13" s="96"/>
      <c r="I13" s="96"/>
      <c r="J13" s="121" t="s">
        <v>122</v>
      </c>
      <c r="K13" s="121"/>
      <c r="L13" s="122">
        <f>IFERROR(Расчет!C5/((PI()*(D13/1000)^2)/4)/3600,0)</f>
        <v>24.757435592072607</v>
      </c>
      <c r="M13" s="96" t="s">
        <v>74</v>
      </c>
      <c r="N13" s="96"/>
    </row>
    <row r="14" spans="1:14" ht="15.75">
      <c r="A14" s="109"/>
      <c r="B14" s="154"/>
      <c r="C14" s="111" t="s">
        <v>4</v>
      </c>
      <c r="D14" s="146">
        <v>1000</v>
      </c>
      <c r="E14" s="113" t="s">
        <v>5</v>
      </c>
      <c r="F14" s="254">
        <v>2</v>
      </c>
      <c r="G14" s="96" t="s">
        <v>198</v>
      </c>
      <c r="H14" s="96"/>
      <c r="I14" s="96"/>
      <c r="J14" s="121"/>
      <c r="K14" s="121"/>
      <c r="L14" s="122"/>
      <c r="M14" s="96"/>
      <c r="N14" s="96"/>
    </row>
    <row r="15" spans="1:14" ht="15.75">
      <c r="A15" s="109"/>
      <c r="B15" s="155"/>
      <c r="C15" s="111" t="s">
        <v>12</v>
      </c>
      <c r="D15" s="146">
        <v>1</v>
      </c>
      <c r="E15" s="113"/>
      <c r="F15" s="150"/>
      <c r="G15" s="96"/>
      <c r="H15" s="96"/>
      <c r="I15" s="96" t="s">
        <v>118</v>
      </c>
      <c r="J15" s="96"/>
      <c r="K15" s="96"/>
      <c r="L15" s="96"/>
      <c r="M15" s="96"/>
      <c r="N15" s="96"/>
    </row>
    <row r="16" spans="1:14" ht="15.75">
      <c r="A16" s="109">
        <v>8</v>
      </c>
      <c r="B16" s="238" t="s">
        <v>564</v>
      </c>
      <c r="C16" s="35"/>
      <c r="D16" s="146">
        <v>2</v>
      </c>
      <c r="E16" s="113" t="s">
        <v>14</v>
      </c>
      <c r="F16" s="254">
        <f xml:space="preserve"> IF(D16=1,1,D16-1)</f>
        <v>1</v>
      </c>
      <c r="G16" s="96" t="s">
        <v>121</v>
      </c>
      <c r="H16" s="96"/>
      <c r="I16" s="96"/>
      <c r="J16" s="96"/>
      <c r="K16" s="96"/>
      <c r="L16" s="96"/>
      <c r="M16" s="96"/>
      <c r="N16" s="96"/>
    </row>
    <row r="17" spans="1:34" ht="15.75">
      <c r="A17" s="109"/>
      <c r="B17" s="156"/>
      <c r="C17" s="123" t="s">
        <v>116</v>
      </c>
      <c r="D17" s="146">
        <v>1600</v>
      </c>
      <c r="E17" s="113" t="s">
        <v>5</v>
      </c>
      <c r="F17" s="254">
        <v>15</v>
      </c>
      <c r="G17" s="96" t="s">
        <v>120</v>
      </c>
      <c r="H17" s="96"/>
      <c r="I17" s="96"/>
      <c r="J17" s="96"/>
      <c r="K17" s="96"/>
      <c r="L17" s="96"/>
      <c r="M17" s="96"/>
      <c r="N17" s="96"/>
    </row>
    <row r="18" spans="1:34" ht="15.75">
      <c r="A18" s="246" t="s">
        <v>559</v>
      </c>
      <c r="B18" s="247" t="s">
        <v>426</v>
      </c>
      <c r="C18" s="250" t="s">
        <v>445</v>
      </c>
      <c r="D18" s="248">
        <v>0</v>
      </c>
      <c r="E18" s="113" t="s">
        <v>54</v>
      </c>
      <c r="F18" s="149">
        <v>0</v>
      </c>
      <c r="G18" s="96" t="s">
        <v>285</v>
      </c>
      <c r="H18" s="96"/>
      <c r="I18" s="96"/>
      <c r="J18" s="96"/>
      <c r="K18" s="96"/>
      <c r="L18" s="96"/>
      <c r="M18" s="96"/>
      <c r="N18" s="96"/>
    </row>
    <row r="19" spans="1:34" ht="15.75">
      <c r="A19" s="109">
        <v>9</v>
      </c>
      <c r="B19" s="124" t="s">
        <v>443</v>
      </c>
      <c r="C19" s="251" t="s">
        <v>455</v>
      </c>
      <c r="D19" s="146">
        <v>0</v>
      </c>
      <c r="E19" s="290" t="s">
        <v>325</v>
      </c>
      <c r="F19" s="291"/>
      <c r="G19" s="292" t="s">
        <v>508</v>
      </c>
      <c r="H19" s="293"/>
      <c r="I19" s="293"/>
      <c r="J19" s="293"/>
      <c r="K19" s="293"/>
      <c r="L19" s="293"/>
      <c r="M19" s="96"/>
      <c r="N19" s="96"/>
    </row>
    <row r="20" spans="1:34" ht="15" customHeight="1" thickBot="1">
      <c r="A20" s="109"/>
      <c r="B20" s="143" t="s">
        <v>325</v>
      </c>
      <c r="C20" s="240">
        <v>0</v>
      </c>
      <c r="D20" s="249">
        <f>C20*1.1</f>
        <v>0</v>
      </c>
      <c r="E20" s="125" t="s">
        <v>58</v>
      </c>
      <c r="F20" s="114"/>
      <c r="G20" s="98"/>
      <c r="H20" s="96"/>
      <c r="I20" s="96"/>
      <c r="J20" s="96"/>
      <c r="K20" s="96"/>
      <c r="L20" s="96"/>
      <c r="M20" s="96"/>
      <c r="N20" s="126"/>
      <c r="O20" s="53"/>
      <c r="P20" s="53"/>
      <c r="Q20" s="53"/>
      <c r="R20" s="53"/>
      <c r="S20" s="53"/>
      <c r="T20" s="53"/>
      <c r="U20" s="53"/>
      <c r="V20" s="53"/>
      <c r="W20" s="53"/>
      <c r="X20" s="53"/>
      <c r="Y20" s="53"/>
      <c r="Z20" s="53"/>
      <c r="AA20" s="53"/>
      <c r="AB20" s="53"/>
      <c r="AC20" s="53"/>
      <c r="AD20" s="53"/>
      <c r="AE20" s="53"/>
      <c r="AF20" s="53"/>
      <c r="AG20" s="53"/>
      <c r="AH20" s="53"/>
    </row>
    <row r="21" spans="1:34" ht="15" customHeight="1">
      <c r="A21" s="199">
        <v>10</v>
      </c>
      <c r="B21" s="124" t="s">
        <v>346</v>
      </c>
      <c r="C21" s="123" t="s">
        <v>257</v>
      </c>
      <c r="D21" s="146">
        <v>50</v>
      </c>
      <c r="E21" s="118" t="s">
        <v>13</v>
      </c>
      <c r="F21" s="149">
        <f>D16</f>
        <v>2</v>
      </c>
      <c r="G21" s="96"/>
      <c r="H21" s="96"/>
      <c r="I21" s="96"/>
      <c r="J21" s="279" t="s">
        <v>31</v>
      </c>
      <c r="K21" s="280"/>
      <c r="L21" s="281"/>
      <c r="M21" s="198">
        <f>IFERROR(Расчет!F57,"")</f>
        <v>445067919.14951998</v>
      </c>
      <c r="N21" s="126"/>
      <c r="O21" s="53"/>
      <c r="P21" s="53"/>
      <c r="Q21" s="53"/>
      <c r="R21" s="53"/>
      <c r="S21" s="53"/>
      <c r="T21" s="53"/>
      <c r="U21" s="53"/>
      <c r="V21" s="53"/>
      <c r="W21" s="53"/>
      <c r="X21" s="53"/>
      <c r="Y21" s="53"/>
      <c r="Z21" s="53"/>
      <c r="AA21" s="53"/>
      <c r="AB21" s="53"/>
      <c r="AC21" s="53"/>
      <c r="AD21" s="53"/>
      <c r="AE21" s="53"/>
      <c r="AF21" s="53"/>
      <c r="AG21" s="53"/>
      <c r="AH21" s="53"/>
    </row>
    <row r="22" spans="1:34" ht="15.75">
      <c r="A22" s="109"/>
      <c r="B22" s="143" t="s">
        <v>325</v>
      </c>
      <c r="C22" s="240">
        <v>0</v>
      </c>
      <c r="D22" s="249">
        <f>C22*1.1</f>
        <v>0</v>
      </c>
      <c r="E22" s="125" t="s">
        <v>58</v>
      </c>
      <c r="F22" s="252">
        <v>50</v>
      </c>
      <c r="G22" s="255" t="s">
        <v>562</v>
      </c>
      <c r="H22" s="96"/>
      <c r="I22" s="96"/>
      <c r="J22" s="127" t="s">
        <v>30</v>
      </c>
      <c r="K22" s="277">
        <f>IFERROR(VLOOKUP(K7,Заказчики!A1:B100,2),0)</f>
        <v>0</v>
      </c>
      <c r="L22" s="278"/>
      <c r="M22" s="128">
        <f>IFERROR(Расчет!F40*K22%,"")</f>
        <v>0</v>
      </c>
      <c r="N22" s="96"/>
    </row>
    <row r="23" spans="1:34" ht="15.75">
      <c r="A23" s="199">
        <v>11</v>
      </c>
      <c r="B23" s="129" t="s">
        <v>319</v>
      </c>
      <c r="C23" s="123" t="s">
        <v>446</v>
      </c>
      <c r="D23" s="146">
        <v>700</v>
      </c>
      <c r="E23" s="288" t="s">
        <v>15</v>
      </c>
      <c r="F23" s="289"/>
      <c r="G23" s="96"/>
      <c r="H23" s="96"/>
      <c r="I23" s="96"/>
      <c r="J23" s="270" t="s">
        <v>32</v>
      </c>
      <c r="K23" s="271"/>
      <c r="L23" s="272"/>
      <c r="M23" s="200">
        <f>IFERROR(M21-M22,"")</f>
        <v>445067919.14951998</v>
      </c>
      <c r="N23" s="130"/>
      <c r="O23" s="54"/>
      <c r="P23" s="54"/>
      <c r="Q23" s="54"/>
      <c r="R23" s="54"/>
      <c r="S23" s="54"/>
      <c r="T23" s="54"/>
      <c r="U23" s="54"/>
      <c r="V23" s="54"/>
      <c r="W23" s="54"/>
      <c r="X23" s="54"/>
      <c r="Y23" s="54"/>
      <c r="Z23" s="54"/>
      <c r="AA23" s="54"/>
      <c r="AB23" s="54"/>
      <c r="AC23" s="54"/>
      <c r="AD23" s="54"/>
      <c r="AE23" s="54"/>
      <c r="AF23" s="54"/>
      <c r="AG23" s="54"/>
      <c r="AH23" s="54"/>
    </row>
    <row r="24" spans="1:34" ht="15.75">
      <c r="A24" s="109"/>
      <c r="B24" s="142" t="s">
        <v>325</v>
      </c>
      <c r="C24" s="131" t="s">
        <v>347</v>
      </c>
      <c r="D24" s="227">
        <v>0</v>
      </c>
      <c r="E24" s="129" t="s">
        <v>16</v>
      </c>
      <c r="F24" s="132"/>
      <c r="G24" s="96"/>
      <c r="H24" s="96"/>
      <c r="I24" s="96"/>
      <c r="J24" s="270" t="s">
        <v>502</v>
      </c>
      <c r="K24" s="271"/>
      <c r="L24" s="272"/>
      <c r="M24" s="128">
        <f>IFERROR(M23/6.55555555555555,"")</f>
        <v>67891716.480435312</v>
      </c>
      <c r="N24" s="130"/>
      <c r="O24" s="54"/>
      <c r="P24" s="54"/>
      <c r="Q24" s="54"/>
      <c r="R24" s="54"/>
      <c r="S24" s="54"/>
      <c r="T24" s="54"/>
      <c r="U24" s="54"/>
      <c r="V24" s="54"/>
      <c r="W24" s="54"/>
      <c r="X24" s="54"/>
      <c r="Y24" s="54"/>
      <c r="Z24" s="54"/>
      <c r="AA24" s="54"/>
      <c r="AB24" s="54"/>
      <c r="AC24" s="54"/>
      <c r="AD24" s="54"/>
      <c r="AE24" s="54"/>
      <c r="AF24" s="54"/>
      <c r="AG24" s="54"/>
      <c r="AH24" s="54"/>
    </row>
    <row r="25" spans="1:34" ht="16.5" thickBot="1">
      <c r="A25" s="133"/>
      <c r="B25" s="134"/>
      <c r="C25" s="134" t="s">
        <v>348</v>
      </c>
      <c r="D25" s="228">
        <f>IF(D24&gt;0,(D24-(D6-D14-D17)/1000),0)</f>
        <v>0</v>
      </c>
      <c r="E25" s="135" t="s">
        <v>16</v>
      </c>
      <c r="F25" s="136"/>
      <c r="G25" s="96"/>
      <c r="H25" s="96"/>
      <c r="I25" s="96"/>
      <c r="J25" s="267" t="s">
        <v>33</v>
      </c>
      <c r="K25" s="268"/>
      <c r="L25" s="269"/>
      <c r="M25" s="137">
        <f>ROUND((Расчет!C14+D19*F21+D21*F21)*1.2,0)</f>
        <v>2536</v>
      </c>
      <c r="N25" s="130"/>
      <c r="O25" s="54"/>
      <c r="P25" s="54"/>
      <c r="Q25" s="54"/>
      <c r="R25" s="54"/>
      <c r="S25" s="54"/>
      <c r="T25" s="54"/>
      <c r="U25" s="54"/>
      <c r="V25" s="54"/>
      <c r="W25" s="54"/>
      <c r="X25" s="54"/>
      <c r="Y25" s="54"/>
      <c r="Z25" s="54"/>
      <c r="AA25" s="54"/>
      <c r="AB25" s="54"/>
      <c r="AC25" s="54"/>
      <c r="AD25" s="54"/>
      <c r="AE25" s="54"/>
      <c r="AF25" s="54"/>
      <c r="AG25" s="54"/>
      <c r="AH25" s="54"/>
    </row>
    <row r="26" spans="1:34">
      <c r="A26" s="95"/>
      <c r="B26" s="96"/>
      <c r="C26" s="96"/>
      <c r="D26" s="95"/>
      <c r="E26" s="96"/>
      <c r="F26" s="96"/>
      <c r="G26" s="96"/>
      <c r="H26" s="96"/>
      <c r="I26" s="96"/>
      <c r="J26" s="138" t="s">
        <v>256</v>
      </c>
      <c r="K26" s="96"/>
      <c r="L26" s="96"/>
      <c r="M26" s="96"/>
      <c r="N26" s="130"/>
      <c r="O26" s="54"/>
      <c r="P26" s="54"/>
      <c r="Q26" s="54"/>
      <c r="R26" s="54"/>
      <c r="S26" s="54"/>
      <c r="T26" s="54"/>
      <c r="U26" s="54"/>
      <c r="V26" s="54"/>
      <c r="W26" s="54"/>
      <c r="X26" s="54"/>
      <c r="Y26" s="54"/>
      <c r="Z26" s="54"/>
      <c r="AA26" s="54"/>
      <c r="AB26" s="54"/>
      <c r="AC26" s="54"/>
      <c r="AD26" s="54"/>
      <c r="AE26" s="54"/>
      <c r="AF26" s="54"/>
      <c r="AG26" s="54"/>
      <c r="AH26" s="54"/>
    </row>
    <row r="27" spans="1:34" ht="15.75">
      <c r="A27" s="95"/>
      <c r="B27" s="230" t="s">
        <v>504</v>
      </c>
      <c r="C27" s="231" t="s">
        <v>507</v>
      </c>
      <c r="D27" s="232" t="s">
        <v>506</v>
      </c>
      <c r="E27" s="96"/>
      <c r="F27" s="96"/>
      <c r="G27" s="96"/>
      <c r="H27" s="96"/>
      <c r="I27" s="96"/>
      <c r="J27" s="139" t="str">
        <f ca="1">IF(Расчет!F11&lt;1,"Требуется обновление программы!",IF(Расчет!F11&lt;11,"Через "&amp;Расчет!F11&amp;" дней необходимо обновить программу.",""))</f>
        <v/>
      </c>
      <c r="K27" s="96"/>
      <c r="L27" s="96"/>
      <c r="M27" s="96"/>
      <c r="N27" s="130"/>
      <c r="O27" s="54"/>
      <c r="P27" s="54"/>
      <c r="Q27" s="54"/>
      <c r="R27" s="54"/>
      <c r="S27" s="54"/>
      <c r="T27" s="54"/>
      <c r="U27" s="54"/>
      <c r="V27" s="54"/>
      <c r="W27" s="54"/>
      <c r="X27" s="54"/>
      <c r="Y27" s="54"/>
      <c r="Z27" s="54"/>
      <c r="AA27" s="54"/>
      <c r="AB27" s="54"/>
      <c r="AC27" s="54"/>
      <c r="AD27" s="54"/>
      <c r="AE27" s="54"/>
      <c r="AF27" s="54"/>
      <c r="AG27" s="54"/>
      <c r="AH27" s="54"/>
    </row>
    <row r="28" spans="1:34">
      <c r="A28" s="95"/>
      <c r="B28" s="233" t="s">
        <v>563</v>
      </c>
      <c r="C28" s="226">
        <v>1000</v>
      </c>
      <c r="D28" s="226">
        <v>0</v>
      </c>
      <c r="E28" s="96"/>
      <c r="F28" s="96"/>
      <c r="G28" s="96"/>
      <c r="H28" s="96"/>
      <c r="I28" s="96"/>
      <c r="J28" s="96"/>
      <c r="K28" s="96"/>
      <c r="L28" s="140"/>
      <c r="M28" s="96"/>
      <c r="N28" s="96"/>
    </row>
    <row r="29" spans="1:34" ht="15.75">
      <c r="A29" s="95"/>
      <c r="B29" s="233" t="s">
        <v>509</v>
      </c>
      <c r="C29" s="226">
        <v>1000</v>
      </c>
      <c r="D29" s="226">
        <v>0</v>
      </c>
      <c r="E29" s="96"/>
      <c r="F29" s="98"/>
      <c r="G29" s="96"/>
      <c r="H29" s="96"/>
      <c r="I29" s="96"/>
      <c r="J29" s="96"/>
      <c r="K29" s="96"/>
      <c r="L29" s="141"/>
      <c r="M29" s="96"/>
      <c r="N29" s="96"/>
    </row>
    <row r="30" spans="1:34">
      <c r="B30" s="234" t="s">
        <v>505</v>
      </c>
      <c r="C30" s="226">
        <v>1000</v>
      </c>
      <c r="D30" s="226">
        <v>0</v>
      </c>
    </row>
    <row r="31" spans="1:34">
      <c r="B31" s="234" t="s">
        <v>511</v>
      </c>
      <c r="C31" s="235">
        <v>1000</v>
      </c>
      <c r="D31" s="226">
        <v>0</v>
      </c>
    </row>
    <row r="32" spans="1:34">
      <c r="B32" s="234" t="s">
        <v>515</v>
      </c>
      <c r="C32" s="235">
        <v>1000</v>
      </c>
      <c r="D32" s="235">
        <v>0</v>
      </c>
    </row>
    <row r="33" spans="2:12" ht="15.75">
      <c r="B33" s="234" t="s">
        <v>550</v>
      </c>
      <c r="C33" s="235">
        <v>1000</v>
      </c>
      <c r="D33" s="235">
        <v>0</v>
      </c>
      <c r="L33" s="52"/>
    </row>
    <row r="34" spans="2:12">
      <c r="E34" s="229"/>
    </row>
    <row r="37" spans="2:12">
      <c r="F37" s="55"/>
    </row>
  </sheetData>
  <sheetProtection selectLockedCells="1"/>
  <dataConsolidate/>
  <mergeCells count="16">
    <mergeCell ref="C2:D3"/>
    <mergeCell ref="J25:L25"/>
    <mergeCell ref="J23:L23"/>
    <mergeCell ref="J24:L24"/>
    <mergeCell ref="K7:L7"/>
    <mergeCell ref="K8:L8"/>
    <mergeCell ref="K22:L22"/>
    <mergeCell ref="J21:L21"/>
    <mergeCell ref="K2:L2"/>
    <mergeCell ref="K3:L3"/>
    <mergeCell ref="K4:L4"/>
    <mergeCell ref="K5:L5"/>
    <mergeCell ref="K6:L6"/>
    <mergeCell ref="E23:F23"/>
    <mergeCell ref="E19:F19"/>
    <mergeCell ref="G19:L19"/>
  </mergeCells>
  <conditionalFormatting sqref="D5 D7 D13:D25 D9:D11">
    <cfRule type="cellIs" dxfId="24" priority="12" operator="greaterThan">
      <formula>0</formula>
    </cfRule>
  </conditionalFormatting>
  <conditionalFormatting sqref="L12:L14">
    <cfRule type="cellIs" dxfId="23" priority="10" operator="greaterThan">
      <formula>4</formula>
    </cfRule>
    <cfRule type="cellIs" dxfId="22" priority="11" operator="greaterThan">
      <formula>3</formula>
    </cfRule>
  </conditionalFormatting>
  <conditionalFormatting sqref="D28">
    <cfRule type="cellIs" dxfId="21" priority="7" operator="greaterThan">
      <formula>0</formula>
    </cfRule>
  </conditionalFormatting>
  <conditionalFormatting sqref="B24 B22 B20 E19">
    <cfRule type="cellIs" dxfId="20" priority="5" operator="notEqual">
      <formula>"StZn"</formula>
    </cfRule>
  </conditionalFormatting>
  <conditionalFormatting sqref="C13">
    <cfRule type="cellIs" dxfId="19" priority="4" operator="notEqual">
      <formula>"силумин"</formula>
    </cfRule>
  </conditionalFormatting>
  <conditionalFormatting sqref="C8">
    <cfRule type="cellIs" dxfId="18" priority="3" operator="notEqual">
      <formula>"установка под газон"</formula>
    </cfRule>
  </conditionalFormatting>
  <conditionalFormatting sqref="B17 B14:B15 D8 D12">
    <cfRule type="cellIs" dxfId="17" priority="1" operator="greaterThan">
      <formula>0</formula>
    </cfRule>
  </conditionalFormatting>
  <dataValidations count="11">
    <dataValidation type="list" allowBlank="1" showInputMessage="1" showErrorMessage="1" sqref="K7:L7" xr:uid="{00000000-0002-0000-0000-000000000000}">
      <formula1>INDIRECT("Дилер10[Дилер]")</formula1>
    </dataValidation>
    <dataValidation type="list" allowBlank="1" showInputMessage="1" showErrorMessage="1" sqref="D7" xr:uid="{00000000-0002-0000-0000-000001000000}">
      <formula1>INDIRECT("Утепление[Утепление]")</formula1>
    </dataValidation>
    <dataValidation type="list" allowBlank="1" showInputMessage="1" showErrorMessage="1" sqref="D13" xr:uid="{00000000-0002-0000-0000-000002000000}">
      <formula1>INDIRECT("Выход[25]")</formula1>
    </dataValidation>
    <dataValidation type="list" allowBlank="1" showInputMessage="1" showErrorMessage="1" sqref="D9" xr:uid="{00000000-0002-0000-0000-000003000000}">
      <formula1>INDIRECT("Шибер[Вход]")</formula1>
    </dataValidation>
    <dataValidation allowBlank="1" showInputMessage="1" sqref="C2:D3" xr:uid="{00000000-0002-0000-0000-000004000000}"/>
    <dataValidation type="list" allowBlank="1" showInputMessage="1" showErrorMessage="1" sqref="D21 F22" xr:uid="{00000000-0002-0000-0000-000005000000}">
      <formula1>"40,50,65,80,100,125,150,200,250,300,350,400"</formula1>
    </dataValidation>
    <dataValidation type="list" allowBlank="1" showInputMessage="1" showErrorMessage="1" sqref="G9" xr:uid="{00000000-0002-0000-0000-000006000000}">
      <formula1>"Прагма, муфта,Корсис, муфта,Икапласт, муфта,НПВХ, муфта,Фланец DN,Гильза"</formula1>
    </dataValidation>
    <dataValidation type="list" allowBlank="1" showInputMessage="1" showErrorMessage="1" sqref="G19" xr:uid="{00000000-0002-0000-0000-000007000000}">
      <formula1>"Поплавковые выключатели с кабелем10м,Гидростатический датчик уровня с кабелем10м"</formula1>
    </dataValidation>
    <dataValidation type="list" allowBlank="1" showInputMessage="1" showErrorMessage="1" promptTitle="Горловина" sqref="D4" xr:uid="{00000000-0002-0000-0000-000008000000}">
      <formula1>"200,250,300,350,400,450,500,550,600"</formula1>
    </dataValidation>
    <dataValidation type="list" allowBlank="1" showInputMessage="1" showErrorMessage="1" sqref="A18" xr:uid="{00000000-0002-0000-0000-000009000000}">
      <formula1>"Улица,Помещение"</formula1>
    </dataValidation>
    <dataValidation type="list" allowBlank="1" showInputMessage="1" showErrorMessage="1" sqref="B11" xr:uid="{00000000-0002-0000-0000-00000A000000}">
      <formula1>"Корзина,Отсекатель"</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B000000}">
          <x14:formula1>
            <xm:f>Расчет!$L$3:$AC$3</xm:f>
          </x14:formula1>
          <xm:sqref>D5</xm:sqref>
        </x14:dataValidation>
        <x14:dataValidation type="list" allowBlank="1" showInputMessage="1" showErrorMessage="1" xr:uid="{00000000-0002-0000-0000-00000C000000}">
          <x14:formula1>
            <xm:f>Прайс!$L$3:$M$3</xm:f>
          </x14:formula1>
          <xm:sqref>C13</xm:sqref>
        </x14:dataValidation>
        <x14:dataValidation type="list" allowBlank="1" showInputMessage="1" showErrorMessage="1" xr:uid="{00000000-0002-0000-0000-00000D000000}">
          <x14:formula1>
            <xm:f>Прайс!$S$3:$T$3</xm:f>
          </x14:formula1>
          <xm:sqref>B20 E19 B22 B24</xm:sqref>
        </x14:dataValidation>
        <x14:dataValidation type="list" allowBlank="1" showInputMessage="1" showErrorMessage="1" xr:uid="{00000000-0002-0000-0000-00000E000000}">
          <x14:formula1>
            <xm:f>Прайс!$B$50:$B$51</xm:f>
          </x14:formula1>
          <xm:sqref>C11:C12</xm:sqref>
        </x14:dataValidation>
        <x14:dataValidation type="list" allowBlank="1" showInputMessage="1" showErrorMessage="1" xr:uid="{00000000-0002-0000-0000-00000F000000}">
          <x14:formula1>
            <xm:f>Прайс!$B$53:$B$54</xm:f>
          </x14:formula1>
          <xm:sqref>D12</xm:sqref>
        </x14:dataValidation>
        <x14:dataValidation type="list" allowBlank="1" showInputMessage="1" showErrorMessage="1" xr:uid="{00000000-0002-0000-0000-000010000000}">
          <x14:formula1>
            <xm:f>Прайс!$B$57:$B$58</xm:f>
          </x14:formula1>
          <xm:sqref>C8</xm:sqref>
        </x14:dataValidation>
        <x14:dataValidation type="list" allowBlank="1" showInputMessage="1" showErrorMessage="1" xr:uid="{00000000-0002-0000-0000-000011000000}">
          <x14:formula1>
            <xm:f>Прайс!$B$64:$B$65</xm:f>
          </x14:formula1>
          <xm:sqref>E23:F23</xm:sqref>
        </x14:dataValidation>
        <x14:dataValidation type="list" allowBlank="1" showInputMessage="1" showErrorMessage="1" xr:uid="{00000000-0002-0000-0000-000012000000}">
          <x14:formula1>
            <xm:f>Прайс!$B$34:$B$37</xm:f>
          </x14:formula1>
          <xm:sqref>B18</xm:sqref>
        </x14:dataValidation>
        <x14:dataValidation type="list" allowBlank="1" showInputMessage="1" showErrorMessage="1" xr:uid="{00000000-0002-0000-0000-000013000000}">
          <x14:formula1>
            <xm:f>Прайс!$V$5:$V$12</xm:f>
          </x14:formula1>
          <xm:sqref>B15</xm:sqref>
        </x14:dataValidation>
        <x14:dataValidation type="list" allowBlank="1" showInputMessage="1" showErrorMessage="1" xr:uid="{00000000-0002-0000-0000-000014000000}">
          <x14:formula1>
            <xm:f>Прайс!$W$4:$X$4</xm:f>
          </x14:formula1>
          <xm:sqref>B14</xm:sqref>
        </x14:dataValidation>
        <x14:dataValidation type="list" allowBlank="1" showInputMessage="1" showErrorMessage="1" xr:uid="{00000000-0002-0000-0000-000015000000}">
          <x14:formula1>
            <xm:f>Прайс!$C$27:$C$31</xm:f>
          </x14:formula1>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pageSetUpPr fitToPage="1"/>
  </sheetPr>
  <dimension ref="A1:AC71"/>
  <sheetViews>
    <sheetView tabSelected="1" topLeftCell="D1" zoomScale="80" zoomScaleNormal="80" workbookViewId="0">
      <selection activeCell="J2" sqref="J2:J3"/>
    </sheetView>
  </sheetViews>
  <sheetFormatPr defaultRowHeight="15"/>
  <cols>
    <col min="1" max="1" width="9.140625" style="36"/>
    <col min="2" max="2" width="58.85546875" style="36" customWidth="1"/>
    <col min="3" max="3" width="10.42578125" style="36" customWidth="1"/>
    <col min="4" max="4" width="9.140625" style="36"/>
    <col min="5" max="5" width="21.5703125" style="36" customWidth="1"/>
    <col min="6" max="6" width="12.140625" style="36" customWidth="1"/>
    <col min="7" max="8" width="11.7109375" style="36" customWidth="1"/>
    <col min="9" max="9" width="3.28515625" style="36" customWidth="1"/>
    <col min="10" max="10" width="12" style="36" customWidth="1"/>
    <col min="11" max="11" width="8.28515625" style="36" customWidth="1"/>
    <col min="12" max="16384" width="9.140625" style="36"/>
  </cols>
  <sheetData>
    <row r="1" spans="2:29" ht="15.75" thickBot="1"/>
    <row r="2" spans="2:29">
      <c r="B2" s="36" t="s">
        <v>35</v>
      </c>
      <c r="C2" s="36">
        <f>Опросник!D5/1000</f>
        <v>2.6</v>
      </c>
      <c r="E2" s="36" t="s">
        <v>37</v>
      </c>
      <c r="F2" s="36">
        <v>1.2</v>
      </c>
      <c r="J2" s="297" t="s">
        <v>29</v>
      </c>
      <c r="K2" s="170"/>
      <c r="L2" s="294" t="s">
        <v>28</v>
      </c>
      <c r="M2" s="294"/>
      <c r="N2" s="294"/>
      <c r="O2" s="294"/>
      <c r="P2" s="294"/>
      <c r="Q2" s="294"/>
      <c r="R2" s="294"/>
      <c r="S2" s="294"/>
      <c r="T2" s="294"/>
      <c r="U2" s="294"/>
      <c r="V2" s="294"/>
      <c r="W2" s="294"/>
      <c r="X2" s="294"/>
      <c r="Y2" s="295"/>
      <c r="Z2" s="295"/>
      <c r="AA2" s="295"/>
      <c r="AB2" s="295"/>
      <c r="AC2" s="296"/>
    </row>
    <row r="3" spans="2:29">
      <c r="B3" s="36" t="s">
        <v>18</v>
      </c>
      <c r="C3" s="36">
        <f>ROUNDUP(IFERROR(Опросник!F16/Опросник!F5,1),0)</f>
        <v>1</v>
      </c>
      <c r="E3" s="36" t="s">
        <v>38</v>
      </c>
      <c r="F3" s="36">
        <v>1900</v>
      </c>
      <c r="G3" s="36" t="s">
        <v>57</v>
      </c>
      <c r="J3" s="298"/>
      <c r="K3" s="171">
        <v>0</v>
      </c>
      <c r="L3" s="172">
        <v>1100</v>
      </c>
      <c r="M3" s="172">
        <v>1200</v>
      </c>
      <c r="N3" s="172">
        <v>1400</v>
      </c>
      <c r="O3" s="172">
        <v>1500</v>
      </c>
      <c r="P3" s="172">
        <v>1600</v>
      </c>
      <c r="Q3" s="172">
        <v>1800</v>
      </c>
      <c r="R3" s="172">
        <v>2000</v>
      </c>
      <c r="S3" s="172">
        <v>2200</v>
      </c>
      <c r="T3" s="172">
        <v>2400</v>
      </c>
      <c r="U3" s="172">
        <v>2500</v>
      </c>
      <c r="V3" s="172">
        <v>2600</v>
      </c>
      <c r="W3" s="172">
        <v>2800</v>
      </c>
      <c r="X3" s="172">
        <v>3000</v>
      </c>
      <c r="Y3" s="172">
        <v>3200</v>
      </c>
      <c r="Z3" s="172">
        <v>3500</v>
      </c>
      <c r="AA3" s="172">
        <v>3600</v>
      </c>
      <c r="AB3" s="173">
        <v>4000</v>
      </c>
      <c r="AC3" s="174">
        <v>4200</v>
      </c>
    </row>
    <row r="4" spans="2:29">
      <c r="B4" s="36" t="s">
        <v>19</v>
      </c>
      <c r="C4" s="36">
        <f>Опросник!F17</f>
        <v>15</v>
      </c>
      <c r="E4" s="36" t="s">
        <v>39</v>
      </c>
      <c r="F4" s="36">
        <v>140</v>
      </c>
      <c r="G4" s="36" t="s">
        <v>40</v>
      </c>
      <c r="J4" s="175">
        <v>2000</v>
      </c>
      <c r="K4" s="176"/>
      <c r="L4" s="177">
        <v>6</v>
      </c>
      <c r="M4" s="177">
        <v>6</v>
      </c>
      <c r="N4" s="177">
        <v>6</v>
      </c>
      <c r="O4" s="177">
        <v>8</v>
      </c>
      <c r="P4" s="177">
        <v>8</v>
      </c>
      <c r="Q4" s="177">
        <v>9</v>
      </c>
      <c r="R4" s="177">
        <v>10</v>
      </c>
      <c r="S4" s="177">
        <v>10</v>
      </c>
      <c r="T4" s="177">
        <v>12</v>
      </c>
      <c r="U4" s="177">
        <v>12</v>
      </c>
      <c r="V4" s="177">
        <v>12</v>
      </c>
      <c r="W4" s="177">
        <v>15</v>
      </c>
      <c r="X4" s="177">
        <v>15</v>
      </c>
      <c r="Y4" s="177">
        <v>15</v>
      </c>
      <c r="Z4" s="177">
        <v>16</v>
      </c>
      <c r="AA4" s="177">
        <v>16</v>
      </c>
      <c r="AB4" s="178">
        <v>18</v>
      </c>
      <c r="AC4" s="174">
        <v>18</v>
      </c>
    </row>
    <row r="5" spans="2:29">
      <c r="B5" s="36" t="s">
        <v>20</v>
      </c>
      <c r="C5" s="36">
        <f>IF(Опросник!E23="л/сек",Опросник!D23*3.6,Опросник!D23)</f>
        <v>700</v>
      </c>
      <c r="E5" s="36" t="s">
        <v>56</v>
      </c>
      <c r="F5" s="179">
        <f>(8+(17/5000)*($C$2*1000-1100))/1000</f>
        <v>1.3099999999999999E-2</v>
      </c>
      <c r="G5" s="36" t="s">
        <v>16</v>
      </c>
      <c r="J5" s="175">
        <v>10000</v>
      </c>
      <c r="K5" s="176"/>
      <c r="L5" s="177">
        <v>8</v>
      </c>
      <c r="M5" s="177">
        <v>8</v>
      </c>
      <c r="N5" s="177">
        <v>8</v>
      </c>
      <c r="O5" s="177">
        <v>10</v>
      </c>
      <c r="P5" s="177">
        <v>10</v>
      </c>
      <c r="Q5" s="177">
        <v>11</v>
      </c>
      <c r="R5" s="177">
        <v>13</v>
      </c>
      <c r="S5" s="177">
        <v>13</v>
      </c>
      <c r="T5" s="177">
        <v>15</v>
      </c>
      <c r="U5" s="177">
        <v>15</v>
      </c>
      <c r="V5" s="177">
        <v>15</v>
      </c>
      <c r="W5" s="177">
        <v>18</v>
      </c>
      <c r="X5" s="177">
        <v>18</v>
      </c>
      <c r="Y5" s="177">
        <v>18</v>
      </c>
      <c r="Z5" s="177">
        <v>19</v>
      </c>
      <c r="AA5" s="177">
        <v>19</v>
      </c>
      <c r="AB5" s="178">
        <v>22</v>
      </c>
      <c r="AC5" s="174">
        <v>22</v>
      </c>
    </row>
    <row r="6" spans="2:29">
      <c r="B6" s="36" t="s">
        <v>115</v>
      </c>
      <c r="C6" s="36">
        <f>C5/(4*C3*C4)</f>
        <v>11.666666666666666</v>
      </c>
      <c r="E6" s="36" t="s">
        <v>47</v>
      </c>
      <c r="F6" s="36">
        <v>3</v>
      </c>
      <c r="J6" s="180" t="s">
        <v>510</v>
      </c>
      <c r="K6" s="181"/>
      <c r="L6" s="182">
        <f>L4+(L5-L4)/8000*($C$11-2)*1000</f>
        <v>7.0250000000000004</v>
      </c>
      <c r="M6" s="182">
        <f>M4+(M5-M4)/8000*($C$11-2)*1000</f>
        <v>7.0250000000000004</v>
      </c>
      <c r="N6" s="182">
        <f t="shared" ref="N6:AC6" si="0">N4+(N5-N4)/8000*($C$11-2)*1000</f>
        <v>7.0250000000000004</v>
      </c>
      <c r="O6" s="182">
        <f>O4+(O5-O4)/8000*($C$11-2)*1000</f>
        <v>9.0250000000000004</v>
      </c>
      <c r="P6" s="182">
        <f t="shared" si="0"/>
        <v>9.0250000000000004</v>
      </c>
      <c r="Q6" s="182">
        <f t="shared" si="0"/>
        <v>10.025</v>
      </c>
      <c r="R6" s="182">
        <f t="shared" si="0"/>
        <v>11.5375</v>
      </c>
      <c r="S6" s="182">
        <f>S4+(S5-S4)/8000*($C$11-2)*1000</f>
        <v>11.5375</v>
      </c>
      <c r="T6" s="182">
        <f t="shared" si="0"/>
        <v>13.5375</v>
      </c>
      <c r="U6" s="182">
        <f>U4+(U5-U4)/8000*($C$11-2)*1000</f>
        <v>13.5375</v>
      </c>
      <c r="V6" s="182">
        <f t="shared" si="0"/>
        <v>13.5375</v>
      </c>
      <c r="W6" s="182">
        <f>W4+(W5-W4)/8000*($C$11-2)*1000</f>
        <v>16.537500000000001</v>
      </c>
      <c r="X6" s="182">
        <f t="shared" si="0"/>
        <v>16.537500000000001</v>
      </c>
      <c r="Y6" s="182">
        <f t="shared" si="0"/>
        <v>16.537500000000001</v>
      </c>
      <c r="Z6" s="182">
        <f t="shared" si="0"/>
        <v>17.537500000000001</v>
      </c>
      <c r="AA6" s="182">
        <f>AA4+(AA5-AA4)/8000*($C$11-2)*1000</f>
        <v>17.537500000000001</v>
      </c>
      <c r="AB6" s="182">
        <f>AB4+(AB5-AB4)/8000*($C$11-2)*1000</f>
        <v>20.05</v>
      </c>
      <c r="AC6" s="183">
        <f t="shared" si="0"/>
        <v>20.05</v>
      </c>
    </row>
    <row r="7" spans="2:29">
      <c r="B7" s="36" t="s">
        <v>21</v>
      </c>
      <c r="C7" s="36">
        <f>PI()*(Опросник!D5/1000)^2/4</f>
        <v>5.3092915845667505</v>
      </c>
      <c r="E7" s="36" t="s">
        <v>94</v>
      </c>
      <c r="F7" s="184">
        <f>SQRT(C2)</f>
        <v>1.61245154965971</v>
      </c>
      <c r="J7" s="185" t="s">
        <v>107</v>
      </c>
      <c r="K7" s="186"/>
      <c r="L7" s="187">
        <v>1</v>
      </c>
      <c r="M7" s="187">
        <v>1</v>
      </c>
      <c r="N7" s="187">
        <v>1</v>
      </c>
      <c r="O7" s="187">
        <v>1</v>
      </c>
      <c r="P7" s="187">
        <v>1</v>
      </c>
      <c r="Q7" s="187">
        <v>1</v>
      </c>
      <c r="R7" s="187">
        <v>1</v>
      </c>
      <c r="S7" s="187">
        <v>1</v>
      </c>
      <c r="T7" s="187">
        <v>0.9</v>
      </c>
      <c r="U7" s="187">
        <v>0.9</v>
      </c>
      <c r="V7" s="187">
        <v>0.9</v>
      </c>
      <c r="W7" s="187">
        <v>0.9</v>
      </c>
      <c r="X7" s="187">
        <v>0.9</v>
      </c>
      <c r="Y7" s="187">
        <v>0.9</v>
      </c>
      <c r="Z7" s="187">
        <v>0.9</v>
      </c>
      <c r="AA7" s="187">
        <v>0.9</v>
      </c>
      <c r="AB7" s="187">
        <v>1</v>
      </c>
      <c r="AC7" s="188">
        <v>1</v>
      </c>
    </row>
    <row r="8" spans="2:29" ht="15.75" thickBot="1">
      <c r="B8" s="36" t="s">
        <v>22</v>
      </c>
      <c r="C8" s="36">
        <f>IF(AND(Опросник!D23=0),0,IF(AND(Опросник!D5&lt;=2000),C6/C7/Опросник!F5+0.2,C6/C7/Опросник!F5+0.3))</f>
        <v>2.4974055259236039</v>
      </c>
      <c r="J8" s="189" t="s">
        <v>51</v>
      </c>
      <c r="K8" s="190"/>
      <c r="L8" s="191">
        <v>8</v>
      </c>
      <c r="M8" s="191">
        <v>8</v>
      </c>
      <c r="N8" s="191">
        <v>8</v>
      </c>
      <c r="O8" s="191">
        <v>8</v>
      </c>
      <c r="P8" s="191">
        <v>8</v>
      </c>
      <c r="Q8" s="191">
        <v>12</v>
      </c>
      <c r="R8" s="191">
        <v>12</v>
      </c>
      <c r="S8" s="191">
        <v>12</v>
      </c>
      <c r="T8" s="191">
        <v>12</v>
      </c>
      <c r="U8" s="191">
        <v>12</v>
      </c>
      <c r="V8" s="191">
        <v>12</v>
      </c>
      <c r="W8" s="191">
        <v>12</v>
      </c>
      <c r="X8" s="191">
        <v>12</v>
      </c>
      <c r="Y8" s="191">
        <v>12</v>
      </c>
      <c r="Z8" s="191">
        <v>16</v>
      </c>
      <c r="AA8" s="191">
        <v>16</v>
      </c>
      <c r="AB8" s="192">
        <v>24</v>
      </c>
      <c r="AC8" s="193">
        <v>24</v>
      </c>
    </row>
    <row r="9" spans="2:29">
      <c r="B9" s="36" t="s">
        <v>26</v>
      </c>
      <c r="C9" s="36">
        <f>Опросник!D10/1000</f>
        <v>2</v>
      </c>
      <c r="E9" s="89" t="s">
        <v>276</v>
      </c>
      <c r="F9" s="90">
        <f ca="1">TODAY()</f>
        <v>44117</v>
      </c>
      <c r="G9" s="194"/>
    </row>
    <row r="10" spans="2:29">
      <c r="B10" s="36" t="s">
        <v>23</v>
      </c>
      <c r="C10" s="36">
        <f>Опросник!D17/1000</f>
        <v>1.6</v>
      </c>
      <c r="E10" s="91" t="s">
        <v>275</v>
      </c>
      <c r="F10" s="196">
        <v>44196</v>
      </c>
      <c r="G10" s="194"/>
    </row>
    <row r="11" spans="2:29">
      <c r="B11" s="36" t="s">
        <v>24</v>
      </c>
      <c r="C11" s="36">
        <f>ROUND(C8+C9+C10,2)</f>
        <v>6.1</v>
      </c>
      <c r="E11" s="88"/>
      <c r="F11" s="88">
        <f ca="1">F10-F9</f>
        <v>79</v>
      </c>
    </row>
    <row r="12" spans="2:29">
      <c r="B12" s="36" t="s">
        <v>25</v>
      </c>
      <c r="C12" s="36">
        <f>C7*C11</f>
        <v>32.386678665857175</v>
      </c>
      <c r="E12" s="88"/>
      <c r="F12" s="88"/>
    </row>
    <row r="13" spans="2:29">
      <c r="B13" s="36" t="s">
        <v>36</v>
      </c>
      <c r="C13" s="216">
        <f>IFERROR(HLOOKUP(Опросник!D5,Расчет!L3:AC6,4,FALSE)/1000,0)</f>
        <v>1.3537499999999999E-2</v>
      </c>
      <c r="E13" s="88"/>
      <c r="F13" s="88"/>
    </row>
    <row r="14" spans="2:29">
      <c r="B14" s="36" t="s">
        <v>34</v>
      </c>
      <c r="C14" s="36">
        <f>((PI()*C2*C11*C13+C7*F5*(IF(AND(C11&lt;=3.5),2,IF(AND(C11&gt;3.5,C11&lt;=7.8),3,4))))*F3)*F2</f>
        <v>2013.6276560066185</v>
      </c>
      <c r="D14" s="36">
        <f>(PI()*C2*C13*C11*F3)*F2</f>
        <v>1537.8938928630992</v>
      </c>
      <c r="E14" s="89" t="s">
        <v>109</v>
      </c>
      <c r="F14" s="92">
        <f>Опросник!B3</f>
        <v>910037</v>
      </c>
    </row>
    <row r="15" spans="2:29">
      <c r="D15" s="36">
        <f>C14-D14</f>
        <v>475.73376314351935</v>
      </c>
    </row>
    <row r="23" spans="2:11">
      <c r="B23" s="299" t="str">
        <f>"Расчет стоимости "&amp;Опросник!C2</f>
        <v>Расчет стоимости КНС</v>
      </c>
      <c r="C23" s="299"/>
      <c r="D23" s="299"/>
      <c r="E23" s="299"/>
      <c r="F23" s="299"/>
    </row>
    <row r="24" spans="2:11">
      <c r="C24" s="158" t="s">
        <v>55</v>
      </c>
      <c r="D24" s="158" t="s">
        <v>46</v>
      </c>
      <c r="F24" s="169" t="s">
        <v>490</v>
      </c>
      <c r="G24" s="169" t="s">
        <v>489</v>
      </c>
      <c r="H24" s="169">
        <v>0.63</v>
      </c>
      <c r="I24" s="169"/>
      <c r="J24" s="169" t="s">
        <v>491</v>
      </c>
      <c r="K24" s="169" t="s">
        <v>209</v>
      </c>
    </row>
    <row r="25" spans="2:11">
      <c r="B25" s="36" t="s">
        <v>48</v>
      </c>
      <c r="D25" s="158"/>
      <c r="F25" s="159">
        <f>MROUND(C14*F4*F6,10)*HLOOKUP(Опросник!D5,Расчет!K3:AC8,5,FALSE)*Опросник!F5*VLOOKUP(Опросник!C2,Расчет!A63:E69,5)</f>
        <v>761148</v>
      </c>
      <c r="G25" s="159">
        <f>MROUND(C14*F4,10)*Опросник!F5*VLOOKUP(Опросник!C2,Расчет!A63:E69,5)</f>
        <v>281910</v>
      </c>
      <c r="H25" s="159">
        <f>F25*H$24</f>
        <v>479523.24</v>
      </c>
      <c r="J25" s="159">
        <f>H25-G25</f>
        <v>197613.24</v>
      </c>
      <c r="K25" s="168">
        <f>IF(G25=0,0,J25/G25)</f>
        <v>0.70097988719804194</v>
      </c>
    </row>
    <row r="26" spans="2:11">
      <c r="B26" s="36" t="s">
        <v>44</v>
      </c>
      <c r="C26" s="36">
        <f>Опросник!D7/1000</f>
        <v>0</v>
      </c>
      <c r="D26" s="158">
        <v>12000</v>
      </c>
      <c r="F26" s="159">
        <f>G26/0.5*Опросник!F5</f>
        <v>0</v>
      </c>
      <c r="G26" s="159">
        <f>IF(C26=0,0,(C2*3.14*C26+C2*C2)*3*200+(3.14*C2*C26+C2*C2)*0.004*F3*F4)*Опросник!F5</f>
        <v>0</v>
      </c>
      <c r="H26" s="159">
        <f t="shared" ref="H26:H38" si="1">F26*H$24</f>
        <v>0</v>
      </c>
      <c r="J26" s="159">
        <f t="shared" ref="J26:J38" si="2">H26-G26</f>
        <v>0</v>
      </c>
      <c r="K26" s="168">
        <f t="shared" ref="K26:K40" si="3">IF(G26=0,0,J26/G26)</f>
        <v>0</v>
      </c>
    </row>
    <row r="27" spans="2:11">
      <c r="B27" s="36" t="str">
        <f>IF(Опросник!$C$2="КНС","Рама усиления дна",IF(Опросник!$C$2="КДР","Канал","Второе усиленное дно"))</f>
        <v>Рама усиления дна</v>
      </c>
      <c r="C27" s="160">
        <f>IF(AND(C2="КНС",D5&lt;1900),0,1)*F5*VLOOKUP(Опросник!C2,Расчет!A63:F69,6)*Расчет!C7*Расчет!F5*F3/2</f>
        <v>0.86557115238612492</v>
      </c>
      <c r="D27" s="158">
        <v>15000</v>
      </c>
      <c r="F27" s="159">
        <f>IF(Опросник!D5&gt;=2200,G27/0.5,0)</f>
        <v>34320</v>
      </c>
      <c r="G27" s="159">
        <f>IF(Опросник!D5&gt;2200,C2*4*1650,0)*Опросник!F5</f>
        <v>17160</v>
      </c>
      <c r="H27" s="159">
        <f t="shared" si="1"/>
        <v>21621.599999999999</v>
      </c>
      <c r="J27" s="159">
        <f t="shared" si="2"/>
        <v>4461.5999999999985</v>
      </c>
      <c r="K27" s="168">
        <f t="shared" si="3"/>
        <v>0.2599999999999999</v>
      </c>
    </row>
    <row r="28" spans="2:11">
      <c r="B28" s="36" t="s">
        <v>45</v>
      </c>
      <c r="C28" s="36">
        <f>C11</f>
        <v>6.1</v>
      </c>
      <c r="D28" s="158">
        <f>MROUND(Прайс!H5*3.4*2.2*F2,10)</f>
        <v>5300</v>
      </c>
      <c r="E28" s="36">
        <f>IF(Опросник!D12&gt;0,IF(Опросник!D12="поручень",1,4),0)</f>
        <v>0</v>
      </c>
      <c r="F28" s="159">
        <f>G28/0.5+E28*9860</f>
        <v>28060</v>
      </c>
      <c r="G28" s="159">
        <f>C28*2300*Опросник!F5</f>
        <v>14030</v>
      </c>
      <c r="H28" s="159">
        <f t="shared" si="1"/>
        <v>17677.8</v>
      </c>
      <c r="J28" s="159">
        <f t="shared" si="2"/>
        <v>3647.7999999999993</v>
      </c>
      <c r="K28" s="168">
        <f t="shared" si="3"/>
        <v>0.25999999999999995</v>
      </c>
    </row>
    <row r="29" spans="2:11">
      <c r="B29" s="36" t="s">
        <v>11</v>
      </c>
      <c r="C29" s="36">
        <f>Опросник!D9</f>
        <v>300</v>
      </c>
      <c r="D29" s="158">
        <f>Опросник!D11</f>
        <v>1</v>
      </c>
      <c r="F29" s="159">
        <f>G29/0.5</f>
        <v>9200</v>
      </c>
      <c r="G29" s="159">
        <f>IF(Опросник!D11=0,0,IF(AND(C29&lt;=300),Прайс!X22+2*Прайс!X23+2000,IF(AND(C29&lt;=600),Прайс!X24*2+4*Прайс!X23+4000+(C9+C29/2000)*2.5*Прайс!X25+2000,IF(AND(C29&lt;=1200),Прайс!X24*6+9*Прайс!X23+8000+(C9+C29/2000)*2.5*Прайс!X25+4000))))*D29</f>
        <v>4600</v>
      </c>
      <c r="H29" s="159">
        <f t="shared" si="1"/>
        <v>5796</v>
      </c>
      <c r="J29" s="159">
        <f t="shared" si="2"/>
        <v>1196</v>
      </c>
      <c r="K29" s="168">
        <f t="shared" si="3"/>
        <v>0.26</v>
      </c>
    </row>
    <row r="30" spans="2:11">
      <c r="B30" s="36" t="s">
        <v>49</v>
      </c>
      <c r="C30" s="36">
        <f>C2</f>
        <v>2.6</v>
      </c>
      <c r="D30" s="158">
        <v>0</v>
      </c>
      <c r="E30" s="36" t="str">
        <f>IF(Опросник!D5&gt;900,"стеклопластиковая",IF(Опросник!C8="установка под дорогу","стеклопластиковая","алюминиевая"))</f>
        <v>стеклопластиковая</v>
      </c>
      <c r="F30" s="159">
        <f>G30/0.5*Опросник!F5</f>
        <v>59754.240000000013</v>
      </c>
      <c r="G30" s="159">
        <f>IF(E30="стеклопластиковая",(C30*(C30+0.4)*0.012)*F3*F4*Опросник!F5,0)*F2</f>
        <v>29877.120000000006</v>
      </c>
      <c r="H30" s="159">
        <f t="shared" si="1"/>
        <v>37645.171200000012</v>
      </c>
      <c r="J30" s="159">
        <f t="shared" si="2"/>
        <v>7768.0512000000053</v>
      </c>
      <c r="K30" s="168">
        <f t="shared" si="3"/>
        <v>0.26000000000000012</v>
      </c>
    </row>
    <row r="31" spans="2:11">
      <c r="B31" s="36" t="s">
        <v>50</v>
      </c>
      <c r="C31" s="36">
        <f>HLOOKUP(Опросник!D5,Расчет!K3:AC8,6,FALSE)</f>
        <v>12</v>
      </c>
      <c r="D31" s="158">
        <f>VLOOKUP(E31,Прайс!D36:E37,2)</f>
        <v>500</v>
      </c>
      <c r="E31" s="36" t="str">
        <f>IF(Опросник!D5&gt;=3000,"М20×200","М16×125")</f>
        <v>М16×125</v>
      </c>
      <c r="F31" s="159">
        <f>C31*D31*Опросник!F5*IF(Опросник!B22="StZn",1,2.5)</f>
        <v>6000</v>
      </c>
      <c r="G31" s="159">
        <f>C31*D31*Опросник!F5*IF(Опросник!B22="StZn",0.5,1.3)</f>
        <v>3000</v>
      </c>
      <c r="H31" s="159">
        <f t="shared" si="1"/>
        <v>3780</v>
      </c>
      <c r="J31" s="159">
        <f t="shared" si="2"/>
        <v>780</v>
      </c>
      <c r="K31" s="168">
        <f t="shared" si="3"/>
        <v>0.26</v>
      </c>
    </row>
    <row r="32" spans="2:11">
      <c r="B32" s="36" t="s">
        <v>125</v>
      </c>
      <c r="D32" s="158"/>
      <c r="F32" s="159">
        <f>IF(Опросник!D5&lt;=2200,G32/0.5,0)</f>
        <v>0</v>
      </c>
      <c r="G32" s="159">
        <f>IF(Опросник!D5&lt;=2200,C2*5*1650,0)*Опросник!F5</f>
        <v>0</v>
      </c>
      <c r="H32" s="159">
        <f t="shared" si="1"/>
        <v>0</v>
      </c>
      <c r="J32" s="159">
        <f t="shared" si="2"/>
        <v>0</v>
      </c>
      <c r="K32" s="168">
        <f t="shared" si="3"/>
        <v>0</v>
      </c>
    </row>
    <row r="33" spans="2:17">
      <c r="B33" s="36" t="s">
        <v>556</v>
      </c>
      <c r="C33" s="36">
        <f>Опросник!D21</f>
        <v>50</v>
      </c>
      <c r="D33" s="158">
        <f>MIN(1.3+1/(1+C33/100),1.65)</f>
        <v>1.65</v>
      </c>
      <c r="F33" s="159">
        <f>G33*D33*1.2</f>
        <v>64531.17</v>
      </c>
      <c r="G33" s="159">
        <f>VLOOKUP(C33,Прайс!A6:E19,5)+VLOOKUP(C33,Прайс!A6:F19,6)</f>
        <v>32591.5</v>
      </c>
      <c r="H33" s="159">
        <f t="shared" si="1"/>
        <v>40654.6371</v>
      </c>
      <c r="J33" s="159">
        <f t="shared" si="2"/>
        <v>8063.1370999999999</v>
      </c>
      <c r="K33" s="168">
        <f t="shared" si="3"/>
        <v>0.24740000000000001</v>
      </c>
    </row>
    <row r="34" spans="2:17">
      <c r="B34" s="36" t="s">
        <v>319</v>
      </c>
      <c r="C34" s="36">
        <f>Опросник!F21*2</f>
        <v>4</v>
      </c>
      <c r="D34" s="158">
        <f>IF(Опросник!C2="КНС",IFERROR(VLOOKUP(Опросник!D21,Прайс!A22:B31,2),0),0)</f>
        <v>25</v>
      </c>
      <c r="F34" s="159">
        <f>IF(Опросник!C2="КНС",VLOOKUP(D34,Прайс!G5:H9,2)*C34*IF(Опросник!B24="StZn",0.9,2)*C11,0)</f>
        <v>12956.4</v>
      </c>
      <c r="G34" s="159">
        <f>IF(Опросник!C2="КНС",VLOOKUP(D34,Прайс!G5:H9,2)*Опросник!F21*IF(Опросник!B24="StZn",0.9,2)*C11,0)</f>
        <v>6478.2</v>
      </c>
      <c r="H34" s="159">
        <f t="shared" si="1"/>
        <v>8162.5320000000002</v>
      </c>
      <c r="J34" s="159">
        <f t="shared" si="2"/>
        <v>1684.3320000000003</v>
      </c>
      <c r="K34" s="168">
        <f t="shared" si="3"/>
        <v>0.26000000000000006</v>
      </c>
    </row>
    <row r="35" spans="2:17">
      <c r="B35" s="36" t="s">
        <v>104</v>
      </c>
      <c r="C35" s="36">
        <f>C33</f>
        <v>50</v>
      </c>
      <c r="D35" s="158">
        <f>IFERROR(MIN(1.3+1/(C35/100),1.3),0)</f>
        <v>1.3</v>
      </c>
      <c r="F35" s="159">
        <f>(Опросник!D15*IFERROR(VLOOKUP($C$35,Прайс!$A$4:$C$17,3)*$D$35,0))*1.52</f>
        <v>444091649.33951998</v>
      </c>
      <c r="G35" s="159">
        <f>IF(F35=0,0,VLOOKUP(C35,Прайс!A6:E19,3))</f>
        <v>224742737.51999998</v>
      </c>
      <c r="H35" s="159">
        <f t="shared" si="1"/>
        <v>279777739.08389759</v>
      </c>
      <c r="J35" s="159">
        <f t="shared" si="2"/>
        <v>55035001.56389761</v>
      </c>
      <c r="K35" s="168">
        <f t="shared" si="3"/>
        <v>0.24488000000000007</v>
      </c>
    </row>
    <row r="36" spans="2:17">
      <c r="B36" s="36" t="s">
        <v>197</v>
      </c>
      <c r="C36" s="36">
        <f>Опросник!D9</f>
        <v>300</v>
      </c>
      <c r="D36" s="158">
        <f>IF(Опросник!F10=1,Опросник!F9,0)</f>
        <v>0</v>
      </c>
      <c r="F36" s="159">
        <f>IFERROR(VLOOKUP(C36,Прайс!D42:E59,2)*F14*D35*D36*1.52,0)</f>
        <v>0</v>
      </c>
      <c r="G36" s="159">
        <f>VLOOKUP(C36,Прайс!D42:E59,2)*F14*D36</f>
        <v>0</v>
      </c>
      <c r="H36" s="159">
        <f t="shared" si="1"/>
        <v>0</v>
      </c>
      <c r="J36" s="159">
        <f t="shared" si="2"/>
        <v>0</v>
      </c>
      <c r="K36" s="168">
        <f t="shared" si="3"/>
        <v>0</v>
      </c>
    </row>
    <row r="37" spans="2:17">
      <c r="B37" s="36" t="s">
        <v>281</v>
      </c>
      <c r="C37" s="36">
        <f>C11*Опросник!D16</f>
        <v>12.2</v>
      </c>
      <c r="D37" s="158">
        <f>VLOOKUP(Опросник!D19,Прайс!D22:E31,2)</f>
        <v>0</v>
      </c>
      <c r="F37" s="159">
        <f>IF(Опросник!C2="КНС",MROUND((VLOOKUP(D37,Прайс!E22:F31,2)*C37),10)*2*IF(Опросник!E19="StZn",1,8),0)</f>
        <v>0</v>
      </c>
      <c r="G37" s="159">
        <f>IF(F37=0,0,MROUND((VLOOKUP(D37,Прайс!E22:F31,2)*C37),10)*IF(Опросник!E19="StZn",1,8))</f>
        <v>0</v>
      </c>
      <c r="H37" s="159">
        <f t="shared" si="1"/>
        <v>0</v>
      </c>
      <c r="J37" s="159">
        <f t="shared" si="2"/>
        <v>0</v>
      </c>
      <c r="K37" s="168">
        <f t="shared" si="3"/>
        <v>0</v>
      </c>
    </row>
    <row r="38" spans="2:17">
      <c r="B38" s="36" t="s">
        <v>52</v>
      </c>
      <c r="C38" s="36">
        <f>Опросник!D10/1000*Опросник!D11*1.5</f>
        <v>3</v>
      </c>
      <c r="D38" s="158">
        <f>IF(C29&lt;300,3,(IF(C29&lt;500,3,4)))</f>
        <v>3</v>
      </c>
      <c r="F38" s="159">
        <f>IF(Опросник!C2="КНС",MROUND((VLOOKUP(D38,Прайс!E22:F31,2)*C38),10)*2,0)*IF(Опросник!E19="StZn",1,8)</f>
        <v>300</v>
      </c>
      <c r="G38" s="159">
        <f>IF(F38=0,0,MROUND((VLOOKUP(D38,Прайс!E22:F31,2)*C38),10))*IF(Опросник!E19="StZn",1,8)</f>
        <v>150</v>
      </c>
      <c r="H38" s="159">
        <f t="shared" si="1"/>
        <v>189</v>
      </c>
      <c r="J38" s="159">
        <f t="shared" si="2"/>
        <v>39</v>
      </c>
      <c r="K38" s="168">
        <f t="shared" si="3"/>
        <v>0.26</v>
      </c>
    </row>
    <row r="39" spans="2:17" ht="15.75" thickBot="1">
      <c r="B39" s="36" t="s">
        <v>560</v>
      </c>
      <c r="D39" s="158"/>
      <c r="F39" s="159">
        <f>G39/0.5</f>
        <v>0</v>
      </c>
      <c r="G39" s="159">
        <f>IF(C11&gt;7.8,3.14*C2/2.3*3640,0)*Опросник!F5</f>
        <v>0</v>
      </c>
      <c r="H39" s="159">
        <f>F39*H24</f>
        <v>0</v>
      </c>
      <c r="J39" s="159">
        <f>H39-G39</f>
        <v>0</v>
      </c>
      <c r="K39" s="168">
        <f>IF(G39=0,0,J39/G39)</f>
        <v>0</v>
      </c>
    </row>
    <row r="40" spans="2:17" ht="15.75" thickBot="1">
      <c r="B40" s="161"/>
      <c r="C40" s="161"/>
      <c r="D40" s="162"/>
      <c r="E40" s="94" t="s">
        <v>363</v>
      </c>
      <c r="F40" s="241">
        <f>SUM(F25:F39)</f>
        <v>445067919.14951998</v>
      </c>
      <c r="G40" s="195">
        <f>SUM(G25:G39)</f>
        <v>225132534.33999997</v>
      </c>
      <c r="H40" s="195">
        <f>SUM(H25:H39)</f>
        <v>280392789.0641976</v>
      </c>
      <c r="I40" s="195"/>
      <c r="J40" s="195">
        <f>SUM(J25:J39)</f>
        <v>55260254.724197611</v>
      </c>
      <c r="K40" s="197">
        <f t="shared" si="3"/>
        <v>0.24545654801159211</v>
      </c>
      <c r="Q40" s="36" t="s">
        <v>294</v>
      </c>
    </row>
    <row r="41" spans="2:17">
      <c r="D41" s="158"/>
      <c r="E41" s="89" t="s">
        <v>364</v>
      </c>
      <c r="F41" s="93">
        <f>Опросник!M22</f>
        <v>0</v>
      </c>
    </row>
    <row r="42" spans="2:17">
      <c r="D42" s="158"/>
      <c r="E42" s="89" t="s">
        <v>365</v>
      </c>
      <c r="F42" s="242">
        <f>F40-F41+F54</f>
        <v>445067919.14951998</v>
      </c>
    </row>
    <row r="43" spans="2:17">
      <c r="D43" s="158"/>
      <c r="F43" s="159"/>
      <c r="H43" s="36" t="s">
        <v>568</v>
      </c>
    </row>
    <row r="44" spans="2:17">
      <c r="B44" s="36" t="str">
        <f>VLOOKUP(Опросник!C2,Расчет!A63:J69,10)&amp;" "&amp;Опросник!B17&amp;" "&amp;Опросник!C16&amp;IF(Расчет!C6&gt;0," (Q="&amp;Опросник!D23&amp;Опросник!E23&amp;", Н="&amp;Опросник!D24&amp;"м)","")</f>
        <v>Насос погружной    (Q=700м³/час, Н=0м)</v>
      </c>
      <c r="C44" s="36">
        <f>Опросник!D16</f>
        <v>2</v>
      </c>
      <c r="D44" s="158">
        <f>Опросник!D20*F14</f>
        <v>0</v>
      </c>
      <c r="F44" s="159">
        <f>C44*D44</f>
        <v>0</v>
      </c>
      <c r="H44" s="36">
        <f>Опросник!D20*Опросник!D16*Опросник!B3</f>
        <v>0</v>
      </c>
    </row>
    <row r="45" spans="2:17">
      <c r="B45" s="36" t="str">
        <f>VLOOKUP(Опросник!C2,Расчет!A63:K69,11)&amp;" DN"&amp;Опросник!F22</f>
        <v>Система автоматической трубной муфты DN50</v>
      </c>
      <c r="C45" s="36">
        <f>Опросник!F21</f>
        <v>2</v>
      </c>
      <c r="D45" s="158">
        <f>Опросник!D22*F14</f>
        <v>0</v>
      </c>
      <c r="F45" s="159">
        <f>C45*D45</f>
        <v>0</v>
      </c>
      <c r="H45" s="36">
        <f>Опросник!D22*Опросник!F21*Опросник!B3</f>
        <v>0</v>
      </c>
    </row>
    <row r="46" spans="2:17">
      <c r="B46" s="36" t="str">
        <f>IF(Опросник!A18="Улица","Щит управления 380В, IP65, УХЛ1, P="&amp;Опросник!D18*Опросник!F16&amp;"кВт, "&amp;IF(Опросник!F18=0,"","с АВР, ")&amp;Опросник!B18&amp;"","Щит управления 380В, IP44, УХЛ4, P="&amp;Опросник!D18*Опросник!F16&amp;"кВт, "&amp;IF(Опросник!F18=0,"","с АВР, ")&amp;Опросник!B18&amp;"")</f>
        <v>Щит управления 380В, IP65, УХЛ1, P=0кВт, прямой пуск</v>
      </c>
      <c r="C46" s="36">
        <f>Опросник!D18</f>
        <v>0</v>
      </c>
      <c r="D46" s="158"/>
      <c r="F46" s="159">
        <f>IF(Опросник!D18=0,0,VLOOKUP(Опросник!D18,Прайс!G22:H39,2))*(1+Опросник!F18*0.1+(Опросник!F16-1)*0.2)*(VLOOKUP(Опросник!B18,Прайс!B34:C36,2))</f>
        <v>0</v>
      </c>
    </row>
    <row r="47" spans="2:17">
      <c r="B47" s="36" t="str">
        <f>VLOOKUP(Опросник!C2,Расчет!A63:L69,12)</f>
        <v>Поплавковые выключатели с кабелем10м</v>
      </c>
      <c r="C47" s="36">
        <f>IF(Опросник!G19="Поплавковые выключатели с кабелем10м",C44+2,1)</f>
        <v>4</v>
      </c>
      <c r="D47" s="158">
        <f>IF(Опросник!G19="Поплавковые выключатели с кабелем10м",4000,25000)</f>
        <v>4000</v>
      </c>
      <c r="F47" s="159">
        <f>IF(Опросник!D18=0,0,C47*D47)</f>
        <v>0</v>
      </c>
    </row>
    <row r="48" spans="2:17">
      <c r="B48" s="36" t="str">
        <f>VLOOKUP(Опросник!C2,Расчет!A63:M69,13)</f>
        <v>Расходомер DN 250</v>
      </c>
      <c r="C48" s="36">
        <f>Опросник!D28</f>
        <v>0</v>
      </c>
      <c r="D48" s="158">
        <f>IF(C48=0,0,Опросник!C28)</f>
        <v>0</v>
      </c>
      <c r="F48" s="159">
        <f t="shared" ref="F48:F53" si="4">C48*D48</f>
        <v>0</v>
      </c>
    </row>
    <row r="49" spans="1:12">
      <c r="B49" s="36" t="str">
        <f>VLOOKUP(Опросник!C2,Расчет!A63:N71,14)</f>
        <v>Взмучиватель осадка DN40 с задвижкой DN40</v>
      </c>
      <c r="C49" s="36">
        <f>Опросник!D29</f>
        <v>0</v>
      </c>
      <c r="D49" s="158">
        <f>IF(C49=0,0,Опросник!C29)</f>
        <v>0</v>
      </c>
      <c r="F49" s="159">
        <f t="shared" si="4"/>
        <v>0</v>
      </c>
    </row>
    <row r="50" spans="1:12">
      <c r="B50" s="36" t="str">
        <f>VLOOKUP(Опросник!C2,Расчет!A63:O71,15)</f>
        <v>Рама под дробилку</v>
      </c>
      <c r="C50" s="36">
        <f>Опросник!D30</f>
        <v>0</v>
      </c>
      <c r="D50" s="158">
        <f>IF(C50=0,0,Опросник!C30)</f>
        <v>0</v>
      </c>
      <c r="F50" s="159">
        <f t="shared" si="4"/>
        <v>0</v>
      </c>
    </row>
    <row r="51" spans="1:12">
      <c r="B51" s="36" t="str">
        <f>VLOOKUP(Опросник!C2,Расчет!A63:P71,16)</f>
        <v>Решетка безопасности</v>
      </c>
      <c r="C51" s="36">
        <f>Опросник!D31</f>
        <v>0</v>
      </c>
      <c r="D51" s="158">
        <f>IF(C51=0,0,Опросник!C31)</f>
        <v>0</v>
      </c>
      <c r="F51" s="159">
        <f t="shared" si="4"/>
        <v>0</v>
      </c>
    </row>
    <row r="52" spans="1:12">
      <c r="B52" s="36" t="str">
        <f>VLOOKUP(Опросник!C2,Расчет!A63:Q71,17)</f>
        <v>Поплавковые выключатели с кабелем 10м</v>
      </c>
      <c r="C52" s="36">
        <f>Опросник!D32</f>
        <v>0</v>
      </c>
      <c r="D52" s="158">
        <f>IF(C52=0,0,Опросник!C32)</f>
        <v>0</v>
      </c>
      <c r="F52" s="159">
        <f t="shared" si="4"/>
        <v>0</v>
      </c>
    </row>
    <row r="53" spans="1:12">
      <c r="B53" s="36" t="str">
        <f>VLOOKUP(Опросник!C2,Расчет!A63:R71,18)</f>
        <v>Демонтажная вставка</v>
      </c>
      <c r="C53" s="36">
        <f>Опросник!D33</f>
        <v>0</v>
      </c>
      <c r="D53" s="158">
        <f>IF(C53=0,0,Опросник!C33)</f>
        <v>0</v>
      </c>
      <c r="F53" s="159">
        <f t="shared" si="4"/>
        <v>0</v>
      </c>
    </row>
    <row r="54" spans="1:12">
      <c r="B54" s="161"/>
      <c r="C54" s="161"/>
      <c r="D54" s="162"/>
      <c r="E54" s="161"/>
      <c r="F54" s="243">
        <f>SUM(F44:F53)</f>
        <v>0</v>
      </c>
    </row>
    <row r="55" spans="1:12">
      <c r="D55" s="158"/>
      <c r="F55" s="159"/>
    </row>
    <row r="56" spans="1:12">
      <c r="D56" s="158"/>
    </row>
    <row r="57" spans="1:12">
      <c r="E57" s="157" t="s">
        <v>53</v>
      </c>
      <c r="F57" s="244">
        <f>F40+F54</f>
        <v>445067919.14951998</v>
      </c>
      <c r="G57" s="36" t="s">
        <v>349</v>
      </c>
      <c r="H57" s="159">
        <f>MROUND(Опросник!$M$23*Расчет!I57/100,10)</f>
        <v>311547540</v>
      </c>
      <c r="I57" s="36">
        <v>70</v>
      </c>
      <c r="J57" s="36" t="s">
        <v>209</v>
      </c>
    </row>
    <row r="58" spans="1:12">
      <c r="G58" s="36" t="s">
        <v>350</v>
      </c>
      <c r="H58" s="159">
        <f>Опросник!$M$23*Расчет!I58/100</f>
        <v>133520375.744856</v>
      </c>
      <c r="I58" s="36">
        <v>30</v>
      </c>
      <c r="J58" s="36" t="s">
        <v>209</v>
      </c>
    </row>
    <row r="59" spans="1:12">
      <c r="G59" s="36" t="s">
        <v>351</v>
      </c>
      <c r="H59" s="159">
        <f>Опросник!$M$23*Расчет!I59/100</f>
        <v>0</v>
      </c>
      <c r="I59" s="36">
        <f>100-I57-I58</f>
        <v>0</v>
      </c>
      <c r="J59" s="36" t="s">
        <v>209</v>
      </c>
    </row>
    <row r="60" spans="1:12" ht="12.75" customHeight="1"/>
    <row r="61" spans="1:12" ht="15.75" customHeight="1"/>
    <row r="62" spans="1:12" ht="50.25" customHeight="1">
      <c r="A62" s="36" t="s">
        <v>292</v>
      </c>
      <c r="C62" s="158" t="s">
        <v>423</v>
      </c>
      <c r="D62" s="158" t="s">
        <v>424</v>
      </c>
      <c r="E62" s="158" t="s">
        <v>432</v>
      </c>
      <c r="F62" s="36" t="s">
        <v>439</v>
      </c>
      <c r="G62" s="163" t="s">
        <v>448</v>
      </c>
      <c r="H62" s="36" t="s">
        <v>447</v>
      </c>
    </row>
    <row r="63" spans="1:12" ht="3" hidden="1" customHeight="1">
      <c r="A63" s="164"/>
      <c r="B63" s="165"/>
      <c r="C63" s="164"/>
      <c r="D63" s="164"/>
      <c r="E63" s="164"/>
      <c r="F63" s="164"/>
      <c r="G63" s="164"/>
      <c r="H63" s="166"/>
      <c r="I63" s="164"/>
      <c r="J63" s="167"/>
      <c r="K63" s="167"/>
      <c r="L63" s="167"/>
    </row>
    <row r="64" spans="1:12" ht="74.25" hidden="1" customHeight="1">
      <c r="A64" s="164" t="s">
        <v>289</v>
      </c>
      <c r="B64" s="165" t="str">
        <f>"Корпус "&amp;ХЗ[[#This Row],[F2]]&amp;" стеклопластиковый вертикальный"&amp;IF(Опросник!D8=1," "&amp;Опросник!C8,"")&amp;", "&amp;Опросник!C8&amp;". Диаметр "&amp;Опросник!D5&amp;" мм, высота "&amp;Опросник!D6&amp;" мм, полная высота "&amp;Опросник!D6+200&amp;" мм."&amp;IF(Опросник!D7=0,""," Герметичное утепление корпуса на "&amp;Опросник!D7&amp;" мм.")&amp;IF(C27&gt;0," Рама усиления дна. ","")&amp;"Подводящий трубопровод на глубине "&amp;Опросник!D10&amp;" мм,"&amp;IF(Опросник!D9&lt;350," Прагма, раструб "," гильза ")&amp;VLOOKUP(Опросник!D9,Прайс!D42:F59,3)&amp;IF(Опросник!D11&gt;0," ("&amp;Опросник!F9&amp;"шт), корзина "&amp;Опросник!C11&amp;" на направляющих","")&amp;". "&amp;IF(Опросник!F10=0,"","Шиберный затвор DN "&amp;Опросник!D9&amp;".")&amp;IF(Опросник!F12=0,"","Рама под установку дробилки.")&amp;" Отводящий трубопровод  на глубине "&amp;Опросник!D14&amp;" мм,"&amp;IF(Опросник!D9&lt;350," Прагма, раструб "," гильза ")&amp;VLOOKUP(Опросник!D9,Прайс!D42:F59,3)&amp;" ("&amp;Опросник!F13&amp;"шт).Лестница "&amp;Опросник!C12&amp;IF(Опросник!D12&gt;0," , "&amp;Опросник!D12,"")&amp;", крышка утепленная "&amp;E30&amp;", площадка обслуживания"&amp;IF(Опросник!D19&gt;0,", цепи для подъема дробилки "&amp;Опросник!E19&amp;" "&amp;Расчет!D37&amp;" мм","")&amp;". Вентиляционные и кабельные патрубки. Анкер для крепления корпуса к плите "&amp;Опросник!B22&amp;" "&amp;Расчет!E31&amp;" "&amp;Расчет!C31&amp;"шт."</f>
        <v>Корпус КДР стеклопластиковый вертикальный, установка под газон. Диаметр 2600 мм, высота 6100 мм, полная высота 6300 мм. Рама усиления дна. Подводящий трубопровод на глубине 2000 мм, Прагма, раструб OD/ID 315/275 (1шт), корзина AISI304 на направляющих.  Отводящий трубопровод  на глубине 1000 мм, Прагма, раструб OD/ID 315/275 (1шт).Лестница AISI304, крышка утепленная стеклопластиковая, площадка обслуживания. Вентиляционные и кабельные патрубки. Анкер для крепления корпуса к плите StZn М16×125 12шт.</v>
      </c>
      <c r="C64" s="164">
        <v>1</v>
      </c>
      <c r="D64" s="164">
        <v>1</v>
      </c>
      <c r="E64" s="164">
        <v>1.1000000000000001</v>
      </c>
      <c r="F64" s="164">
        <f>1/2*Опросник!D16</f>
        <v>1</v>
      </c>
      <c r="G64" s="164">
        <v>0</v>
      </c>
      <c r="H64" s="166">
        <f>C29*C29/15+(Опросник!F12*Опросник!D9*100)</f>
        <v>6000</v>
      </c>
      <c r="I64" s="164"/>
      <c r="J64" s="167" t="s">
        <v>463</v>
      </c>
      <c r="K64" s="167" t="s">
        <v>466</v>
      </c>
      <c r="L64" s="167" t="s">
        <v>471</v>
      </c>
    </row>
    <row r="65" spans="1:18" ht="161.25" customHeight="1">
      <c r="A65" s="164" t="s">
        <v>287</v>
      </c>
      <c r="B65" s="165" t="str">
        <f>"Корпус "&amp;ХЗ[[#This Row],[F2]]&amp;" стеклопластиковый вертикальный"&amp;IF(Опросник!D8=1," "&amp;Опросник!C8,"")&amp;", "&amp;Опросник!C8&amp;". 
Диаметр "&amp;Опросник!D5&amp;" мм, высота "&amp;Опросник!D6&amp;" мм, полная высота "&amp;Опросник!D6+Опросник!D4&amp;" мм."&amp;IF(Опросник!D7=0,""," Герметичное утепление корпуса на "&amp;Опросник!D7&amp;" мм.")
&amp;IF(Опросник!D5&gt;2200," Рама усиления дна. ","Площадка под насосы (AISI304).")
&amp;"Подводящий трубопровод на глубине "&amp;Опросник!D10&amp;" мм,"&amp;IF(Опросник!D9&lt;1550," "&amp;Опросник!G9&amp;" "," гильза ")&amp;IF(OR(Опросник!G9="Прагма, муфта"),VLOOKUP(Опросник!D9,Прайс!D42:F59,3,),IF(OR(Опросник!G9="Корсис, муфта"),VLOOKUP(Опросник!D9,Прайс!D42:G59,4,),IF(OR(Опросник!G9="НПВХ, муфта"),VLOOKUP(Опросник!D9,Прайс!D42:I59,6,),IF(OR(Опросник!G9="Фланец DN"),VLOOKUP(Опросник!D9,Прайс!D42:D59,1,),IF(OR(Опросник!G9="Икапласт, муфта"),VLOOKUP(Опросник!D9,Прайс!D42:H59,5,),IF(OR(Опросник!G9="Гильза"),VLOOKUP(Опросник!D9,Прайс!D42:J59,7,),0))))))&amp;" ("&amp;Опросник!F9&amp;"шт.)"&amp;IF(AND(Опросник!D11&gt;0,Опросник!B11="Корзина"),". Корзина "&amp;Опросник!C11&amp;" ("&amp;Опросник!D11&amp;"шт.) на направляющих",IF(AND(Опросник!D11&gt;0,Опросник!B11="Отсекатель"),". Отсекатель ("&amp;Опросник!F9&amp;"шт.) стеклопластиковый",IF(AND(Опросник!D11=0)," ",0)))&amp;"."&amp;IF(Опросник!F10=0,"","Шиберный затвор DN "&amp;Опросник!D9&amp;".")&amp;IF(Опросник!F12=0,"","Рама под установку дробилки.")&amp;" Напорный трубопровод нержавеющий DN "&amp;Опросник!D21&amp;" ("&amp;Прайс!O4&amp;IF(Прайс!O4&gt;4," задвижек, "," задвижки, ")&amp;Прайс!P4&amp;" клапана), фланцы "&amp;Опросник!C13&amp;", выход - фланец DN"&amp;Опросник!D13&amp;" ("&amp;Опросник!F13&amp;"шт) "&amp;Опросник!C13&amp;"  на глубине "&amp;Опросник!D14&amp;" мм. "&amp;IF(Опросник!B14&gt;0,""&amp;Опросник!B14&amp;" с задвижкой DN"&amp;Опросник!B15&amp;".","")&amp;IF(Опросник!F11=0,"","Имитатор расходомера ("&amp;Опросник!F11&amp;"шт.)")&amp;" Лестница "&amp;Опросник!C12&amp;IF(Опросник!D12&gt;0," , "&amp;Опросник!D12,"")&amp;", крышка утепленная "&amp;E30&amp;","&amp;IF(Опросник!D6&lt;=3500," ","площадка обслуживания,")&amp;IF(Опросник!D19&gt;0," цепи для подъема насосов "&amp;Опросник!E19&amp;" "&amp;Расчет!D37&amp;" мм","")&amp;" направляющие насосов "&amp;Опросник!B24&amp;". Вентиляционные и кабельные патрубки. Анкер для крепления корпуса к плите "&amp;Опросник!B22&amp;" "&amp;Расчет!E31&amp;" "&amp;Расчет!C31&amp;"шт."</f>
        <v>Корпус КНС стеклопластиковый вертикальный, установка под газон. 
Диаметр 2600 мм, высота 6100 мм, полная высота 6300 мм. Рама усиления дна. Подводящий трубопровод на глубине 2000 мм, Прагма, муфта OD/ID 315/275 (1шт.). Корзина AISI304 (1шт.) на направляющих. Напорный трубопровод нержавеющий DN 50 (2 задвижки, 2 клапана), фланцы силумин, выход - фланец DN100 (1шт) силумин  на глубине 1000 мм.  Лестница AISI304, крышка утепленная стеклопластиковая,площадка обслуживания, направляющие насосов StZn. Вентиляционные и кабельные патрубки. Анкер для крепления корпуса к плите StZn М16×125 12шт.</v>
      </c>
      <c r="C65" s="164">
        <v>1</v>
      </c>
      <c r="D65" s="164">
        <v>1</v>
      </c>
      <c r="E65" s="164">
        <v>1</v>
      </c>
      <c r="F65" s="164">
        <v>1</v>
      </c>
      <c r="G65" s="164">
        <v>1</v>
      </c>
      <c r="H65" s="166">
        <f>IFERROR(MROUND(VLOOKUP(C33,Прайс!A4:E17,5)*D33+(Опросник!D13-Опросник!D21)*(Опросник!D5/10)+IFERROR(HLOOKUP(Опросник!B14,Прайс!W4:X12,MATCH(Опросник!B15,Прайс!V4:V12,),),0)+Опросник!F12*Опросник!D9*100,10)*1.52,0)</f>
        <v>84132</v>
      </c>
      <c r="I65" s="164"/>
      <c r="J65" s="167" t="str">
        <f>Опросник!B16</f>
        <v xml:space="preserve">Насос погружной </v>
      </c>
      <c r="K65" s="167" t="s">
        <v>465</v>
      </c>
      <c r="L65" s="167" t="str">
        <f>Опросник!G19</f>
        <v>Поплавковые выключатели с кабелем10м</v>
      </c>
      <c r="M65" s="201" t="str">
        <f>Опросник!B28</f>
        <v>Расходомер DN 250</v>
      </c>
      <c r="N65" s="201" t="str">
        <f>Опросник!B29</f>
        <v>Взмучиватель осадка DN40 с задвижкой DN40</v>
      </c>
      <c r="O65" s="201" t="str">
        <f>Опросник!B30</f>
        <v>Рама под дробилку</v>
      </c>
      <c r="P65" s="201" t="str">
        <f>Опросник!B31</f>
        <v>Решетка безопасности</v>
      </c>
      <c r="Q65" s="201" t="str">
        <f>Опросник!B32</f>
        <v>Поплавковые выключатели с кабелем 10м</v>
      </c>
      <c r="R65" s="202" t="str">
        <f>Опросник!B33</f>
        <v>Демонтажная вставка</v>
      </c>
    </row>
    <row r="66" spans="1:18" ht="135" hidden="1" customHeight="1">
      <c r="A66" s="164" t="s">
        <v>291</v>
      </c>
      <c r="B66" s="165" t="str">
        <f>"Корпус "&amp;ХЗ[[#This Row],[F2]]&amp;" стеклопластиковый вертикальный"&amp;IF(Опросник!D8=1," "&amp;Опросник!C8,"")&amp;", "&amp;Опросник!C8&amp;". Диаметр "&amp;Опросник!D5&amp;" мм, высота "&amp;Опросник!D6&amp;" мм, полная высота "&amp;Опросник!D6+200&amp;" мм."&amp;IF(Опросник!D7=0,""," Герметичное утепление корпуса на "&amp;Опросник!D7&amp;" мм.")&amp;IF(C27&gt;0," Рама усиления дна. ","")&amp;"Подводящий трубопровод нержавеющий DN"&amp;Опросник!D9&amp;" ("&amp;Опросник!F9&amp;"шт) на глубине "&amp;Опросник!D10&amp;" мм. Отводящий трубопровод нержавеющий DN "&amp;Опросник!D21&amp;" ("&amp;Опросник!F13&amp;"шт) на глубине "&amp;Опросник!D14&amp;" мм. Фланцы "&amp;Опросник!C13&amp;".Лестница "&amp;Опросник!C12&amp;IF(Опросник!D12&gt;0," , "&amp;Опросник!D12,"")&amp;", крышка утепленная "&amp;E30&amp;". Лампа освещения "&amp;IF(C2&lt;2,1,2)&amp;"шт. Конвектор. Вентиляционные и кабельные патрубки. Анкер для крепления корпуса к плите "&amp;Опросник!B22&amp;" "&amp;Расчет!E31&amp;" "&amp;Расчет!C31&amp;"шт."</f>
        <v>Корпус КУУ стеклопластиковый вертикальный, установка под газон. Диаметр 2600 мм, высота 6100 мм, полная высота 6300 мм. Рама усиления дна. Подводящий трубопровод нержавеющий DN300 (1шт) на глубине 2000 мм. Отводящий трубопровод нержавеющий DN 50 (1шт) на глубине 1000 мм. Фланцы силумин.Лестница AISI304, крышка утепленная стеклопластиковая. Лампа освещения 2шт. Конвектор. Вентиляционные и кабельные патрубки. Анкер для крепления корпуса к плите StZn М16×125 12шт.</v>
      </c>
      <c r="C66" s="164">
        <v>2</v>
      </c>
      <c r="D66" s="164">
        <v>2</v>
      </c>
      <c r="E66" s="164">
        <v>1.1000000000000001</v>
      </c>
      <c r="F66" s="164">
        <v>0</v>
      </c>
      <c r="G66" s="164">
        <v>0</v>
      </c>
      <c r="H66" s="166">
        <f>H65</f>
        <v>84132</v>
      </c>
      <c r="I66" s="164"/>
      <c r="J66" s="167" t="s">
        <v>472</v>
      </c>
      <c r="K66" s="167" t="s">
        <v>467</v>
      </c>
      <c r="L66" s="167" t="s">
        <v>470</v>
      </c>
    </row>
    <row r="67" spans="1:18" ht="119.25" hidden="1" customHeight="1">
      <c r="A67" s="164" t="s">
        <v>477</v>
      </c>
      <c r="B67" s="165" t="str">
        <f>"Корпус "&amp;ХЗ[[#This Row],[F2]]&amp;" стеклопластиковый вертикальный"&amp;IF(Опросник!D8=1," "&amp;Опросник!C8,"")&amp;", "&amp;Опросник!C8&amp;". Диаметр "&amp;Опросник!D5&amp;" мм, высота "&amp;Опросник!D6&amp;" мм, полная высота "&amp;Опросник!D6+200&amp;" мм."&amp;IF(Опросник!D7=0,""," Герметичное утепление корпуса на "&amp;Опросник!D7&amp;" мм.")&amp;IF(C27&gt;0," Рама усиления дна. ","")&amp;"Подводящий трубопровод на глубине "&amp;Опросник!D10&amp;" мм, гильза под трубу DN"&amp;Опросник!D9&amp;" ("&amp;Опросник!F9&amp;"шт). "&amp;IF(Опросник!F10=0,"","Шиберный затвор DN "&amp;Опросник!D9&amp;".")&amp;" Отводящий трубопровод  на глубине "&amp;Опросник!D14&amp;" мм,гильза под трубу DN"&amp;Опросник!D13&amp;" ("&amp;Опросник!F13&amp;"шт).Лестница "&amp;Опросник!C12&amp;IF(Опросник!D12&gt;0," , "&amp;Опросник!D12,"")&amp;", крышка утепленная "&amp;E30&amp;". Вентиляционные и кабельные патрубки. Анкер для крепления корпуса к плите "&amp;Опросник!B22&amp;" "&amp;Расчет!E31&amp;" "&amp;Расчет!C31&amp;"шт."</f>
        <v>Корпус КШБ стеклопластиковый вертикальный, установка под газон. Диаметр 2600 мм, высота 6100 мм, полная высота 6300 мм. Рама усиления дна. Подводящий трубопровод на глубине 2000 мм, гильза под трубу DN300 (1шт).  Отводящий трубопровод  на глубине 1000 мм,гильза под трубу DN100 (1шт).Лестница AISI304, крышка утепленная стеклопластиковая. Вентиляционные и кабельные патрубки. Анкер для крепления корпуса к плите StZn М16×125 12шт.</v>
      </c>
      <c r="C67" s="164">
        <v>1</v>
      </c>
      <c r="D67" s="164">
        <v>1</v>
      </c>
      <c r="E67" s="164">
        <v>1</v>
      </c>
      <c r="F67" s="164">
        <v>0</v>
      </c>
      <c r="G67" s="164">
        <v>0</v>
      </c>
      <c r="H67" s="166">
        <v>0</v>
      </c>
      <c r="I67" s="164"/>
      <c r="J67" s="167" t="s">
        <v>472</v>
      </c>
      <c r="K67" s="167" t="s">
        <v>196</v>
      </c>
      <c r="L67" s="167" t="s">
        <v>478</v>
      </c>
    </row>
    <row r="68" spans="1:18" ht="82.5" hidden="1" customHeight="1">
      <c r="A68" s="164" t="s">
        <v>290</v>
      </c>
      <c r="B68" s="165" t="str">
        <f>"Корпус "&amp;ХЗ[[#This Row],[F2]]&amp;" стеклопластиковый вертикальный"&amp;IF(Опросник!D8=1," "&amp;Опросник!C8,"")&amp;", "&amp;Опросник!C8&amp;". Диаметр "&amp;Опросник!D5&amp;" мм, высота "&amp;Опросник!D6&amp;" мм, полная высота "&amp;Опросник!D6+200&amp;" мм."&amp;IF(Опросник!D7=0,""," Герметичное утепление корпуса на "&amp;Опросник!D7&amp;" мм.")&amp;IF(C27&gt;0," Рама усиления дна. ","")&amp;"Лестница "&amp;Опросник!C12&amp;IF(Опросник!D12&gt;0," , "&amp;Опросник!D12,"")&amp;", крышка утепленная "&amp;E30&amp;". Лампа освещения "&amp;IF(C2&lt;2,1,2)&amp;"шт. Конвектор. Вентиляционные и кабельные патрубки. Анкер для крепления корпуса к плите "&amp;Опросник!B22&amp;" "&amp;Расчет!E31&amp;" "&amp;Расчет!C31&amp;"шт."</f>
        <v>Корпус КШУ стеклопластиковый вертикальный, установка под газон. Диаметр 2600 мм, высота 6100 мм, полная высота 6300 мм. Рама усиления дна. Лестница AISI304, крышка утепленная стеклопластиковая. Лампа освещения 2шт. Конвектор. Вентиляционные и кабельные патрубки. Анкер для крепления корпуса к плите StZn М16×125 12шт.</v>
      </c>
      <c r="C68" s="164">
        <v>0</v>
      </c>
      <c r="D68" s="164">
        <v>0</v>
      </c>
      <c r="E68" s="164">
        <v>1.1000000000000001</v>
      </c>
      <c r="F68" s="164">
        <v>0</v>
      </c>
      <c r="G68" s="164">
        <v>0</v>
      </c>
      <c r="H68" s="166">
        <v>0</v>
      </c>
      <c r="I68" s="164"/>
      <c r="J68" s="167" t="s">
        <v>468</v>
      </c>
      <c r="K68" s="167" t="s">
        <v>469</v>
      </c>
      <c r="L68" s="167" t="s">
        <v>470</v>
      </c>
    </row>
    <row r="69" spans="1:18" ht="150.75" hidden="1" customHeight="1">
      <c r="A69" s="164" t="s">
        <v>288</v>
      </c>
      <c r="B69" s="165" t="str">
        <f>"Корпус "&amp;ХЗ[[#This Row],[F2]]&amp;" стеклопластиковый вертикальный"&amp;IF(Опросник!D8=1," "&amp;Опросник!C8,"")&amp;", "&amp;Опросник!C8&amp;". Диаметр "&amp;Опросник!D5&amp;" мм, высота "&amp;Опросник!D6&amp;" мм, полная высота "&amp;Опросник!D6+200&amp;" мм."&amp;IF(Опросник!D7=0,""," Герметичное утепление корпуса на "&amp;Опросник!D7&amp;" мм.")&amp;IF(C27&gt;0," Рама усиления дна. ","")&amp;"Подводящий трубопровод нержавеющий DN"&amp;Опросник!D9&amp;" ("&amp;Опросник!F9&amp;"шт) на глубине "&amp;Опросник!D10&amp;" мм. Напорный трубопровод нержавеющий DN "&amp;Опросник!D21&amp;" ("&amp;Опросник!F13&amp;"шт) на глубине "&amp;Опросник!D14&amp;" мм. Фланцы "&amp;Опросник!C13&amp;".  Лестница "&amp;Опросник!C12&amp;IF(Опросник!D12&gt;0," , "&amp;Опросник!D12,"")&amp;", крышка утепленная "&amp;E30&amp;", площадка обслуживания. Вентиляционные и кабельные патрубки. Анкер для крепления корпуса к плите "&amp;Опросник!B22&amp;" "&amp;Расчет!E31&amp;" "&amp;Расчет!C31&amp;"шт."</f>
        <v>Корпус ПНС стеклопластиковый вертикальный, установка под газон. Диаметр 2600 мм, высота 6100 мм, полная высота 6300 мм. Рама усиления дна. Подводящий трубопровод нержавеющий DN300 (1шт) на глубине 2000 мм. Напорный трубопровод нержавеющий DN 50 (1шт) на глубине 1000 мм. Фланцы силумин.  Лестница AISI304, крышка утепленная стеклопластиковая, площадка обслуживания. Вентиляционные и кабельные патрубки. Анкер для крепления корпуса к плите StZn М16×125 12шт.</v>
      </c>
      <c r="C69" s="164">
        <v>2</v>
      </c>
      <c r="D69" s="164">
        <v>2</v>
      </c>
      <c r="E69" s="164">
        <v>1.1000000000000001</v>
      </c>
      <c r="F69" s="164">
        <v>0.5</v>
      </c>
      <c r="G69" s="164">
        <v>0</v>
      </c>
      <c r="H69" s="166">
        <f>H65</f>
        <v>84132</v>
      </c>
      <c r="I69" s="164"/>
      <c r="J69" s="167" t="s">
        <v>464</v>
      </c>
      <c r="K69" s="167" t="s">
        <v>473</v>
      </c>
      <c r="L69" s="167" t="s">
        <v>470</v>
      </c>
    </row>
    <row r="70" spans="1:18">
      <c r="N70" s="202"/>
    </row>
    <row r="71" spans="1:18">
      <c r="N71" s="163"/>
    </row>
  </sheetData>
  <sheetProtection formatCells="0" formatColumns="0" formatRows="0" insertColumns="0" insertRows="0" insertHyperlinks="0" deleteColumns="0" deleteRows="0" sort="0" autoFilter="0" pivotTables="0"/>
  <mergeCells count="3">
    <mergeCell ref="L2:AC2"/>
    <mergeCell ref="J2:J3"/>
    <mergeCell ref="B23:F23"/>
  </mergeCells>
  <pageMargins left="0.70866141732283472" right="0.70866141732283472" top="0.74803149606299213" bottom="0.74803149606299213" header="0.31496062992125984" footer="0.31496062992125984"/>
  <pageSetup paperSize="9" scale="28" orientation="landscape" r:id="rId1"/>
  <ignoredErrors>
    <ignoredError sqref="C6" unlockedFormula="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56"/>
  <sheetViews>
    <sheetView showGridLines="0" topLeftCell="A12" workbookViewId="0">
      <selection activeCell="I18" sqref="I18"/>
    </sheetView>
  </sheetViews>
  <sheetFormatPr defaultRowHeight="15"/>
  <cols>
    <col min="1" max="1" width="5.28515625" style="1" customWidth="1"/>
    <col min="2" max="2" width="3.85546875" style="2" customWidth="1"/>
    <col min="3" max="4" width="7.7109375" style="1" customWidth="1"/>
    <col min="5" max="5" width="32.7109375" style="1" customWidth="1"/>
    <col min="6" max="6" width="5.28515625" style="1" customWidth="1"/>
    <col min="7" max="7" width="13" style="2" customWidth="1"/>
    <col min="8" max="8" width="1.5703125" style="2" customWidth="1"/>
    <col min="9" max="9" width="13.140625" style="2" customWidth="1"/>
    <col min="10" max="10" width="6.5703125" style="1" customWidth="1"/>
    <col min="11" max="16384" width="9.140625" style="1"/>
  </cols>
  <sheetData>
    <row r="1" spans="1:11">
      <c r="A1" s="58"/>
      <c r="B1" s="59"/>
      <c r="C1" s="58"/>
      <c r="D1" s="58"/>
      <c r="E1" s="58"/>
      <c r="F1" s="58"/>
      <c r="G1" s="59"/>
      <c r="H1" s="59"/>
      <c r="I1" s="59"/>
      <c r="J1" s="58"/>
      <c r="K1" s="58"/>
    </row>
    <row r="2" spans="1:11" ht="15.75">
      <c r="A2" s="58"/>
      <c r="B2" s="59"/>
      <c r="C2" s="58"/>
      <c r="D2" s="58"/>
      <c r="E2" s="259"/>
      <c r="F2" s="302" t="s">
        <v>570</v>
      </c>
      <c r="G2" s="302"/>
      <c r="H2" s="302"/>
      <c r="I2" s="302"/>
      <c r="J2" s="259"/>
      <c r="K2" s="58"/>
    </row>
    <row r="3" spans="1:11">
      <c r="A3" s="58"/>
      <c r="B3" s="59"/>
      <c r="C3" s="58"/>
      <c r="D3" s="58"/>
      <c r="E3" s="259"/>
      <c r="F3" s="300" t="s">
        <v>577</v>
      </c>
      <c r="G3" s="300"/>
      <c r="H3" s="300"/>
      <c r="I3" s="300"/>
      <c r="J3" s="259"/>
      <c r="K3" s="58"/>
    </row>
    <row r="4" spans="1:11" ht="1.5" customHeight="1">
      <c r="A4" s="58"/>
      <c r="B4" s="59"/>
      <c r="C4" s="58"/>
      <c r="D4" s="58"/>
      <c r="E4" s="259"/>
      <c r="F4" s="263" t="s">
        <v>573</v>
      </c>
      <c r="G4" s="263"/>
      <c r="H4" s="263"/>
      <c r="I4" s="263"/>
      <c r="J4" s="259"/>
      <c r="K4" s="58"/>
    </row>
    <row r="5" spans="1:11" ht="13.5" customHeight="1">
      <c r="A5" s="58"/>
      <c r="B5" s="59"/>
      <c r="C5" s="60"/>
      <c r="D5" s="60"/>
      <c r="E5" s="260"/>
      <c r="F5" s="301" t="s">
        <v>571</v>
      </c>
      <c r="G5" s="301"/>
      <c r="H5" s="301"/>
      <c r="I5" s="301"/>
      <c r="J5" s="259"/>
      <c r="K5" s="58"/>
    </row>
    <row r="6" spans="1:11" ht="12" customHeight="1">
      <c r="A6" s="58"/>
      <c r="B6" s="59"/>
      <c r="C6" s="60"/>
      <c r="D6" s="60"/>
      <c r="E6" s="303" t="s">
        <v>574</v>
      </c>
      <c r="F6" s="303"/>
      <c r="G6" s="303"/>
      <c r="H6" s="303"/>
      <c r="I6" s="303"/>
      <c r="J6" s="259"/>
      <c r="K6" s="58"/>
    </row>
    <row r="7" spans="1:11" ht="0.75" hidden="1" customHeight="1">
      <c r="A7" s="58"/>
      <c r="B7" s="59"/>
      <c r="C7" s="60"/>
      <c r="D7" s="60"/>
      <c r="E7" s="260"/>
      <c r="F7" s="261"/>
      <c r="G7" s="261"/>
      <c r="H7" s="261"/>
      <c r="I7" s="262" t="s">
        <v>572</v>
      </c>
      <c r="J7" s="259"/>
      <c r="K7" s="58"/>
    </row>
    <row r="8" spans="1:11" ht="10.5" customHeight="1">
      <c r="A8" s="58"/>
      <c r="B8" s="59"/>
      <c r="C8" s="60"/>
      <c r="D8" s="60" t="s">
        <v>575</v>
      </c>
      <c r="E8" s="260"/>
      <c r="F8" s="261"/>
      <c r="G8" s="261"/>
      <c r="H8" s="261"/>
      <c r="I8" s="265" t="s">
        <v>576</v>
      </c>
      <c r="J8" s="259"/>
      <c r="K8" s="58"/>
    </row>
    <row r="9" spans="1:11" ht="12.75" customHeight="1">
      <c r="A9" s="58"/>
      <c r="B9" s="59"/>
      <c r="C9" s="60"/>
      <c r="D9" s="60"/>
      <c r="E9" s="61"/>
      <c r="F9" s="264"/>
      <c r="G9" s="264"/>
      <c r="H9" s="264"/>
      <c r="I9" s="264"/>
      <c r="J9" s="58"/>
      <c r="K9" s="58"/>
    </row>
    <row r="10" spans="1:11" hidden="1">
      <c r="A10" s="58"/>
      <c r="B10" s="59"/>
      <c r="C10" s="60"/>
      <c r="D10" s="60"/>
      <c r="E10" s="58"/>
      <c r="F10" s="58"/>
      <c r="G10" s="59"/>
      <c r="H10" s="59"/>
      <c r="I10" s="59"/>
      <c r="J10" s="58"/>
      <c r="K10" s="58"/>
    </row>
    <row r="11" spans="1:11" ht="12" hidden="1" customHeight="1">
      <c r="A11" s="58"/>
      <c r="B11" s="59"/>
      <c r="C11" s="62"/>
      <c r="D11" s="62"/>
      <c r="E11" s="58"/>
      <c r="F11" s="58"/>
      <c r="G11" s="59"/>
      <c r="H11" s="59"/>
      <c r="I11" s="59"/>
      <c r="J11" s="58"/>
      <c r="K11" s="58"/>
    </row>
    <row r="12" spans="1:11">
      <c r="A12" s="58"/>
      <c r="B12" s="258" t="s">
        <v>310</v>
      </c>
      <c r="C12" s="63"/>
      <c r="D12" s="304">
        <f>Опросник!K7</f>
        <v>0</v>
      </c>
      <c r="E12" s="305"/>
      <c r="F12" s="64"/>
      <c r="G12" s="65" t="s">
        <v>311</v>
      </c>
      <c r="H12" s="66"/>
      <c r="I12" s="65" t="str">
        <f ca="1">TEXT(TODAY(),"ГГ.ММ.ДД")&amp;"-"&amp;Опросник!M5</f>
        <v>ГГ44117.ММ.ДД-01</v>
      </c>
      <c r="J12" s="58"/>
      <c r="K12" s="58"/>
    </row>
    <row r="13" spans="1:11" ht="15" customHeight="1">
      <c r="A13" s="58"/>
      <c r="B13" s="59"/>
      <c r="C13" s="58"/>
      <c r="D13" s="306" t="str">
        <f>Опросник!K8&amp;CHAR(10)&amp;IF(Опросник!K4&gt;0,Опросник!K4&amp;CHAR(10),"")&amp;Опросник!K5&amp;CHAR(10)&amp;Опросник!K3&amp;CHAR(10)&amp;Опросник!K6</f>
        <v xml:space="preserve">
</v>
      </c>
      <c r="E13" s="306"/>
      <c r="F13" s="67"/>
      <c r="G13" s="68" t="s">
        <v>323</v>
      </c>
      <c r="H13" s="59"/>
      <c r="I13" s="69">
        <f ca="1">TODAY()</f>
        <v>44117</v>
      </c>
      <c r="J13" s="58"/>
      <c r="K13" s="58"/>
    </row>
    <row r="14" spans="1:11" ht="15" customHeight="1">
      <c r="A14" s="58"/>
      <c r="B14" s="59"/>
      <c r="C14" s="58"/>
      <c r="D14" s="306"/>
      <c r="E14" s="306"/>
      <c r="F14" s="67"/>
      <c r="G14" s="68" t="s">
        <v>313</v>
      </c>
      <c r="H14" s="59"/>
      <c r="I14" s="69">
        <f ca="1">I13+30</f>
        <v>44147</v>
      </c>
      <c r="J14" s="58"/>
      <c r="K14" s="58"/>
    </row>
    <row r="15" spans="1:11" ht="21.75" customHeight="1">
      <c r="A15" s="58"/>
      <c r="B15" s="59"/>
      <c r="C15" s="58"/>
      <c r="D15" s="306"/>
      <c r="E15" s="306"/>
      <c r="F15" s="58"/>
      <c r="G15" s="58"/>
      <c r="H15" s="59"/>
      <c r="I15" s="59"/>
      <c r="J15" s="58"/>
      <c r="K15" s="58"/>
    </row>
    <row r="16" spans="1:11" ht="27" customHeight="1" thickBot="1">
      <c r="A16" s="58"/>
      <c r="B16" s="70" t="s">
        <v>306</v>
      </c>
      <c r="C16" s="309" t="s">
        <v>307</v>
      </c>
      <c r="D16" s="309"/>
      <c r="E16" s="309"/>
      <c r="F16" s="71" t="s">
        <v>326</v>
      </c>
      <c r="G16" s="72" t="s">
        <v>308</v>
      </c>
      <c r="H16" s="72"/>
      <c r="I16" s="72" t="s">
        <v>309</v>
      </c>
      <c r="J16" s="58"/>
      <c r="K16" s="58"/>
    </row>
    <row r="17" spans="1:11" ht="6" customHeight="1">
      <c r="A17" s="67"/>
      <c r="B17" s="73"/>
      <c r="C17" s="67"/>
      <c r="D17" s="67"/>
      <c r="E17" s="67"/>
      <c r="F17" s="73"/>
      <c r="G17" s="73"/>
      <c r="H17" s="73"/>
      <c r="I17" s="74"/>
      <c r="J17" s="58"/>
      <c r="K17" s="58"/>
    </row>
    <row r="18" spans="1:11" ht="201.75" customHeight="1">
      <c r="A18" s="67"/>
      <c r="B18" s="75">
        <v>1</v>
      </c>
      <c r="C18" s="306" t="str">
        <f>VLOOKUP(Опросник!C2,Расчет!A63:D69,2)</f>
        <v>Корпус КНС стеклопластиковый вертикальный, установка под газон. 
Диаметр 2600 мм, высота 6100 мм, полная высота 6300 мм. Рама усиления дна. Подводящий трубопровод на глубине 2000 мм, Прагма, муфта OD/ID 315/275 (1шт.). Корзина AISI304 (1шт.) на направляющих. Напорный трубопровод нержавеющий DN 50 (2 задвижки, 2 клапана), фланцы силумин, выход - фланец DN100 (1шт) силумин  на глубине 1000 мм.  Лестница AISI304, крышка утепленная стеклопластиковая,площадка обслуживания, направляющие насосов StZn. Вентиляционные и кабельные патрубки. Анкер для крепления корпуса к плите StZn М16×125 12шт.</v>
      </c>
      <c r="D18" s="306"/>
      <c r="E18" s="306"/>
      <c r="F18" s="75">
        <f>Опросник!F5</f>
        <v>1</v>
      </c>
      <c r="G18" s="76">
        <f>Расчет!F40/F18</f>
        <v>445067919.14951998</v>
      </c>
      <c r="H18" s="77"/>
      <c r="I18" s="78">
        <f>F18*G18</f>
        <v>445067919.14951998</v>
      </c>
      <c r="J18" s="58"/>
      <c r="K18" s="79"/>
    </row>
    <row r="19" spans="1:11" ht="27" customHeight="1">
      <c r="A19" s="67"/>
      <c r="B19" s="219">
        <v>2</v>
      </c>
      <c r="C19" s="310" t="str">
        <f>Расчет!B44</f>
        <v>Насос погружной    (Q=700м³/час, Н=0м)</v>
      </c>
      <c r="D19" s="310"/>
      <c r="E19" s="310"/>
      <c r="F19" s="219">
        <f>IF(G19&gt;0,Расчет!C44,0)</f>
        <v>0</v>
      </c>
      <c r="G19" s="220">
        <f>Расчет!D44</f>
        <v>0</v>
      </c>
      <c r="H19" s="221"/>
      <c r="I19" s="220">
        <f>F19*G19</f>
        <v>0</v>
      </c>
      <c r="J19" s="58"/>
      <c r="K19" s="58"/>
    </row>
    <row r="20" spans="1:11" ht="6" customHeight="1">
      <c r="A20" s="67"/>
      <c r="B20" s="75"/>
      <c r="C20" s="80"/>
      <c r="D20" s="80"/>
      <c r="E20" s="80"/>
      <c r="F20" s="75"/>
      <c r="G20" s="76"/>
      <c r="H20" s="77"/>
      <c r="I20" s="78"/>
      <c r="J20" s="58"/>
      <c r="K20" s="58"/>
    </row>
    <row r="21" spans="1:11" ht="12.75" customHeight="1">
      <c r="A21" s="67"/>
      <c r="B21" s="75">
        <v>3</v>
      </c>
      <c r="C21" s="306" t="str">
        <f>Расчет!B45</f>
        <v>Система автоматической трубной муфты DN50</v>
      </c>
      <c r="D21" s="306"/>
      <c r="E21" s="306"/>
      <c r="F21" s="75">
        <f>IF(G21&gt;0,Расчет!C45,0)</f>
        <v>0</v>
      </c>
      <c r="G21" s="78">
        <f>Расчет!D45</f>
        <v>0</v>
      </c>
      <c r="H21" s="77"/>
      <c r="I21" s="78">
        <f>F21*G21</f>
        <v>0</v>
      </c>
      <c r="J21" s="58"/>
      <c r="K21" s="58"/>
    </row>
    <row r="22" spans="1:11" ht="6" customHeight="1">
      <c r="A22" s="67"/>
      <c r="B22" s="75"/>
      <c r="C22" s="80"/>
      <c r="D22" s="80"/>
      <c r="E22" s="80"/>
      <c r="F22" s="75"/>
      <c r="G22" s="76"/>
      <c r="H22" s="77"/>
      <c r="I22" s="78"/>
      <c r="J22" s="58"/>
      <c r="K22" s="58"/>
    </row>
    <row r="23" spans="1:11" ht="25.5" customHeight="1">
      <c r="A23" s="67"/>
      <c r="B23" s="75">
        <v>4</v>
      </c>
      <c r="C23" s="306" t="str">
        <f>Расчет!B46</f>
        <v>Щит управления 380В, IP65, УХЛ1, P=0кВт, прямой пуск</v>
      </c>
      <c r="D23" s="306"/>
      <c r="E23" s="306"/>
      <c r="F23" s="75">
        <f>IF(G23&gt;0,1,0)</f>
        <v>0</v>
      </c>
      <c r="G23" s="78">
        <f>Расчет!F46</f>
        <v>0</v>
      </c>
      <c r="H23" s="77"/>
      <c r="I23" s="78">
        <f>G23*F23</f>
        <v>0</v>
      </c>
      <c r="J23" s="58"/>
      <c r="K23" s="58"/>
    </row>
    <row r="24" spans="1:11" ht="6" customHeight="1">
      <c r="A24" s="67"/>
      <c r="B24" s="75"/>
      <c r="C24" s="80"/>
      <c r="D24" s="80"/>
      <c r="E24" s="80"/>
      <c r="F24" s="75"/>
      <c r="G24" s="76"/>
      <c r="H24" s="77"/>
      <c r="I24" s="78"/>
      <c r="J24" s="58"/>
      <c r="K24" s="58"/>
    </row>
    <row r="25" spans="1:11" ht="21" customHeight="1">
      <c r="A25" s="67"/>
      <c r="B25" s="222">
        <v>5</v>
      </c>
      <c r="C25" s="311" t="str">
        <f>Расчет!B47</f>
        <v>Поплавковые выключатели с кабелем10м</v>
      </c>
      <c r="D25" s="311"/>
      <c r="E25" s="311"/>
      <c r="F25" s="222">
        <f>IF(I25&gt;0,Расчет!C47,0)</f>
        <v>0</v>
      </c>
      <c r="G25" s="223">
        <f>IFERROR(I25/F25,0)</f>
        <v>0</v>
      </c>
      <c r="H25" s="224"/>
      <c r="I25" s="223">
        <f>Расчет!F47</f>
        <v>0</v>
      </c>
      <c r="J25" s="58"/>
      <c r="K25" s="58"/>
    </row>
    <row r="26" spans="1:11" ht="25.5" customHeight="1">
      <c r="A26" s="67"/>
      <c r="B26" s="203">
        <v>6</v>
      </c>
      <c r="C26" s="204" t="str">
        <f>Расчет!B48</f>
        <v>Расходомер DN 250</v>
      </c>
      <c r="D26" s="204"/>
      <c r="E26" s="204"/>
      <c r="F26" s="210">
        <f>IF(I26&gt;0,Расчет!C48,0)</f>
        <v>0</v>
      </c>
      <c r="G26" s="207">
        <f>Расчет!D48</f>
        <v>0</v>
      </c>
      <c r="H26" s="203"/>
      <c r="I26" s="207">
        <f>Расчет!F48</f>
        <v>0</v>
      </c>
      <c r="J26" s="58"/>
      <c r="K26" s="58"/>
    </row>
    <row r="27" spans="1:11" ht="15.75" customHeight="1">
      <c r="A27" s="67"/>
      <c r="B27" s="75">
        <v>7</v>
      </c>
      <c r="C27" s="80" t="str">
        <f>Расчет!B49</f>
        <v>Взмучиватель осадка DN40 с задвижкой DN40</v>
      </c>
      <c r="D27" s="67"/>
      <c r="E27" s="67"/>
      <c r="F27" s="75">
        <f>IF(I27&gt;0,Расчет!C49,0)</f>
        <v>0</v>
      </c>
      <c r="G27" s="208">
        <f>Расчет!D49</f>
        <v>0</v>
      </c>
      <c r="H27" s="73"/>
      <c r="I27" s="208">
        <f>Расчет!F49</f>
        <v>0</v>
      </c>
      <c r="J27" s="58"/>
      <c r="K27" s="58"/>
    </row>
    <row r="28" spans="1:11" ht="18" hidden="1" customHeight="1">
      <c r="A28" s="67"/>
      <c r="B28" s="75">
        <v>8</v>
      </c>
      <c r="C28" s="80" t="str">
        <f>Расчет!B50</f>
        <v>Рама под дробилку</v>
      </c>
      <c r="D28" s="67"/>
      <c r="E28" s="67"/>
      <c r="F28" s="75">
        <f>IF(I28&gt;0,Расчет!C50,0)</f>
        <v>0</v>
      </c>
      <c r="G28" s="208">
        <f>Расчет!D50</f>
        <v>0</v>
      </c>
      <c r="H28" s="73"/>
      <c r="I28" s="208">
        <f>Расчет!F50</f>
        <v>0</v>
      </c>
      <c r="J28" s="58"/>
      <c r="K28" s="58"/>
    </row>
    <row r="29" spans="1:11" ht="16.5" hidden="1" customHeight="1">
      <c r="A29" s="67"/>
      <c r="B29" s="203">
        <v>9</v>
      </c>
      <c r="C29" s="204" t="str">
        <f>Расчет!B51</f>
        <v>Решетка безопасности</v>
      </c>
      <c r="D29" s="204"/>
      <c r="E29" s="217"/>
      <c r="F29" s="203">
        <f>IF(I29&gt;0,Расчет!C51,0)</f>
        <v>0</v>
      </c>
      <c r="G29" s="207">
        <f>Расчет!D51</f>
        <v>0</v>
      </c>
      <c r="H29" s="218"/>
      <c r="I29" s="207">
        <f>Расчет!F51</f>
        <v>0</v>
      </c>
      <c r="J29" s="58"/>
      <c r="K29" s="58"/>
    </row>
    <row r="30" spans="1:11" ht="18" hidden="1" customHeight="1">
      <c r="A30" s="67"/>
      <c r="B30" s="75">
        <v>10</v>
      </c>
      <c r="C30" s="204" t="str">
        <f>Расчет!B52</f>
        <v>Поплавковые выключатели с кабелем 10м</v>
      </c>
      <c r="D30" s="204"/>
      <c r="E30" s="217"/>
      <c r="F30" s="203">
        <f>IF(I29&gt;0,Расчет!C52,0)</f>
        <v>0</v>
      </c>
      <c r="G30" s="207">
        <f>Расчет!D52</f>
        <v>0</v>
      </c>
      <c r="H30" s="218"/>
      <c r="I30" s="207">
        <f>Расчет!F52</f>
        <v>0</v>
      </c>
      <c r="J30" s="58"/>
      <c r="K30" s="58"/>
    </row>
    <row r="31" spans="1:11" ht="12.75" hidden="1" customHeight="1" thickBot="1">
      <c r="A31" s="67"/>
      <c r="B31" s="81">
        <v>11</v>
      </c>
      <c r="C31" s="211" t="str">
        <f>Расчет!B53</f>
        <v>Демонтажная вставка</v>
      </c>
      <c r="D31" s="211"/>
      <c r="E31" s="205"/>
      <c r="F31" s="81">
        <f>IF(I29&gt;0,Расчет!C53,0)</f>
        <v>0</v>
      </c>
      <c r="G31" s="209">
        <f>Расчет!D53</f>
        <v>0</v>
      </c>
      <c r="H31" s="206"/>
      <c r="I31" s="209">
        <f>Расчет!F53</f>
        <v>0</v>
      </c>
      <c r="J31" s="58"/>
      <c r="K31" s="58"/>
    </row>
    <row r="32" spans="1:11" ht="24.75" customHeight="1">
      <c r="A32" s="67"/>
      <c r="B32" s="83" t="s">
        <v>320</v>
      </c>
      <c r="C32" s="67"/>
      <c r="D32" s="67"/>
      <c r="E32" s="67"/>
      <c r="F32" s="73"/>
      <c r="G32" s="73"/>
      <c r="H32" s="73"/>
      <c r="I32" s="84">
        <f>SUM(I18:I31)</f>
        <v>445067919.14951998</v>
      </c>
      <c r="J32" s="58"/>
      <c r="K32" s="58"/>
    </row>
    <row r="33" spans="1:11" ht="1.5" customHeight="1">
      <c r="A33" s="67"/>
      <c r="B33" s="85"/>
      <c r="C33" s="67"/>
      <c r="D33" s="67"/>
      <c r="E33" s="67"/>
      <c r="F33" s="73"/>
      <c r="G33" s="73"/>
      <c r="H33" s="73"/>
      <c r="I33" s="86"/>
      <c r="J33" s="58"/>
      <c r="K33" s="58"/>
    </row>
    <row r="34" spans="1:11" ht="12.75" customHeight="1">
      <c r="A34" s="67"/>
      <c r="B34" s="83" t="str">
        <f xml:space="preserve"> IF(Опросник!K22&gt;0,"СКИДКА: (распространяется на п.№1)","В том числе НДС:")</f>
        <v>В том числе НДС:</v>
      </c>
      <c r="C34" s="67"/>
      <c r="D34" s="67"/>
      <c r="E34" s="67"/>
      <c r="F34" s="73"/>
      <c r="G34" s="73"/>
      <c r="H34" s="73"/>
      <c r="I34" s="84">
        <f>IF(Опросник!K22&gt;0,Опросник!M22,I32/120*20)</f>
        <v>74177986.524920002</v>
      </c>
      <c r="J34" s="58"/>
      <c r="K34" s="58"/>
    </row>
    <row r="35" spans="1:11" ht="3.75" customHeight="1">
      <c r="A35" s="67"/>
      <c r="B35" s="85"/>
      <c r="C35" s="67"/>
      <c r="D35" s="67"/>
      <c r="E35" s="67"/>
      <c r="F35" s="73"/>
      <c r="G35" s="73"/>
      <c r="H35" s="73"/>
      <c r="I35" s="86"/>
      <c r="J35" s="58"/>
      <c r="K35" s="58"/>
    </row>
    <row r="36" spans="1:11" ht="12.75" customHeight="1">
      <c r="A36" s="67"/>
      <c r="B36" s="85" t="str">
        <f>"ИТОГО"&amp;IF(Опросник!K22&gt;0," со скидкой "&amp;Опросник!K22&amp;"%"," с НДС")&amp;":"</f>
        <v>ИТОГО с НДС:</v>
      </c>
      <c r="C36" s="67"/>
      <c r="D36" s="67"/>
      <c r="F36" s="73"/>
      <c r="G36" s="73"/>
      <c r="H36" s="73"/>
      <c r="I36" s="87">
        <f>Опросник!M23</f>
        <v>445067919.14951998</v>
      </c>
      <c r="J36" s="58"/>
      <c r="K36" s="58"/>
    </row>
    <row r="37" spans="1:11" ht="3.75" customHeight="1">
      <c r="A37" s="67"/>
      <c r="B37" s="73"/>
      <c r="C37" s="67"/>
      <c r="D37" s="67"/>
      <c r="E37" s="67"/>
      <c r="F37" s="73"/>
      <c r="G37" s="73"/>
      <c r="H37" s="73"/>
      <c r="I37" s="82"/>
      <c r="J37" s="58"/>
      <c r="K37" s="58"/>
    </row>
    <row r="38" spans="1:11" ht="12.75" customHeight="1">
      <c r="A38" s="67"/>
      <c r="B38" s="83"/>
      <c r="C38" s="67"/>
      <c r="D38" s="67"/>
      <c r="E38" s="67"/>
      <c r="F38" s="73"/>
      <c r="G38" s="73"/>
      <c r="H38" s="73"/>
      <c r="I38" s="84"/>
      <c r="J38" s="58"/>
      <c r="K38" s="58"/>
    </row>
    <row r="39" spans="1:11" ht="12.75" customHeight="1">
      <c r="A39" s="67"/>
      <c r="B39" s="73"/>
      <c r="C39" s="67"/>
      <c r="D39" s="67"/>
      <c r="E39" s="67"/>
      <c r="F39" s="73"/>
      <c r="G39" s="73"/>
      <c r="H39" s="73"/>
      <c r="I39" s="82"/>
      <c r="J39" s="58"/>
      <c r="K39" s="58"/>
    </row>
    <row r="40" spans="1:11" ht="12.75" customHeight="1">
      <c r="A40" s="67"/>
      <c r="B40" s="307" t="s">
        <v>321</v>
      </c>
      <c r="C40" s="307"/>
      <c r="D40" s="307"/>
      <c r="E40" s="306" t="str">
        <f>"Срок изготовления корпуса "&amp;Опросник!C2&amp;" от трех до "&amp;IF(Опросник!D5&lt;3000,"четырех","пяти")&amp;" недель. Самовывоз со склада: Санкт-Петербург, "&amp;IF(Опросник!D5&lt;3000,"Стрельна, ул.Фронтовая, д.3","Дорога на Турухтанные острова, д.26")&amp;"."</f>
        <v>Срок изготовления корпуса КНС от трех до четырех недель. Самовывоз со склада: Санкт-Петербург, Стрельна, ул.Фронтовая, д.3.</v>
      </c>
      <c r="F40" s="306"/>
      <c r="G40" s="306"/>
      <c r="H40" s="306"/>
      <c r="I40" s="306"/>
      <c r="J40" s="58"/>
      <c r="K40" s="58"/>
    </row>
    <row r="41" spans="1:11" ht="12.75" customHeight="1">
      <c r="A41" s="67"/>
      <c r="B41" s="307"/>
      <c r="C41" s="307"/>
      <c r="D41" s="307"/>
      <c r="E41" s="306"/>
      <c r="F41" s="306"/>
      <c r="G41" s="306"/>
      <c r="H41" s="306"/>
      <c r="I41" s="306"/>
      <c r="J41" s="58"/>
      <c r="K41" s="58"/>
    </row>
    <row r="42" spans="1:11" ht="3.75" customHeight="1">
      <c r="A42" s="67"/>
      <c r="B42" s="73"/>
      <c r="C42" s="67"/>
      <c r="D42" s="67"/>
      <c r="E42" s="67"/>
      <c r="F42" s="73"/>
      <c r="G42" s="73"/>
      <c r="H42" s="73"/>
      <c r="I42" s="82"/>
      <c r="J42" s="58"/>
      <c r="K42" s="58"/>
    </row>
    <row r="43" spans="1:11" ht="12.75" customHeight="1">
      <c r="A43" s="67"/>
      <c r="B43" s="307" t="s">
        <v>322</v>
      </c>
      <c r="C43" s="307"/>
      <c r="D43" s="307"/>
      <c r="E43" s="308" t="str">
        <f>"Предоплата "&amp;TEXT(I36*0.7,"# ##0,00")&amp;" ₽, окончательный платеж "&amp;TEXT(I36*0.3,"# ##0,00")&amp;" ₽, в течении трех дней с момента получения уведомления о готовности."</f>
        <v>Предоплата 311,5 47,543 ₽, окончательный платеж 133,5 20,376 ₽, в течении трех дней с момента получения уведомления о готовности.</v>
      </c>
      <c r="F43" s="308"/>
      <c r="G43" s="308"/>
      <c r="H43" s="308"/>
      <c r="I43" s="308"/>
      <c r="J43" s="58"/>
      <c r="K43" s="58"/>
    </row>
    <row r="44" spans="1:11" ht="12.75" customHeight="1">
      <c r="A44" s="67"/>
      <c r="B44" s="307"/>
      <c r="C44" s="307"/>
      <c r="D44" s="307"/>
      <c r="E44" s="308"/>
      <c r="F44" s="308"/>
      <c r="G44" s="308"/>
      <c r="H44" s="308"/>
      <c r="I44" s="308"/>
      <c r="J44" s="58"/>
      <c r="K44" s="58"/>
    </row>
    <row r="45" spans="1:11" ht="3.75" customHeight="1">
      <c r="A45" s="67"/>
      <c r="B45" s="73"/>
      <c r="C45" s="67"/>
      <c r="D45" s="67"/>
      <c r="E45" s="67"/>
      <c r="F45" s="73"/>
      <c r="G45" s="73"/>
      <c r="H45" s="73"/>
      <c r="I45" s="82"/>
      <c r="J45" s="58"/>
      <c r="K45" s="58"/>
    </row>
    <row r="46" spans="1:11" ht="12.75" customHeight="1">
      <c r="A46" s="67"/>
      <c r="B46" s="307" t="s">
        <v>352</v>
      </c>
      <c r="C46" s="307"/>
      <c r="D46" s="307"/>
      <c r="E46" s="308" t="str">
        <f>"Шеф-монтажные и пусконаладочные работы, а также доставка до объекта рассчитывается дополнительно. Масса расчетная "&amp;Опросник!M25&amp;"кг. Габарит "&amp;Опросник!D5+300&amp;"*"&amp;Опросник!D5+500&amp;"*"&amp;Опросник!D6+300&amp;"."</f>
        <v>Шеф-монтажные и пусконаладочные работы, а также доставка до объекта рассчитывается дополнительно. Масса расчетная 2536кг. Габарит 2900*3100*6400.</v>
      </c>
      <c r="F46" s="308"/>
      <c r="G46" s="308"/>
      <c r="H46" s="308"/>
      <c r="I46" s="308"/>
      <c r="J46" s="58"/>
      <c r="K46" s="58"/>
    </row>
    <row r="47" spans="1:11" ht="25.5" customHeight="1">
      <c r="A47" s="67"/>
      <c r="B47" s="307"/>
      <c r="C47" s="307"/>
      <c r="D47" s="307"/>
      <c r="E47" s="308"/>
      <c r="F47" s="308"/>
      <c r="G47" s="308"/>
      <c r="H47" s="308"/>
      <c r="I47" s="308"/>
      <c r="J47" s="58"/>
      <c r="K47" s="58"/>
    </row>
    <row r="48" spans="1:11" ht="3.75" customHeight="1">
      <c r="A48" s="67"/>
      <c r="B48" s="73"/>
      <c r="C48" s="67"/>
      <c r="D48" s="67"/>
      <c r="E48" s="67"/>
      <c r="F48" s="73"/>
      <c r="G48" s="73"/>
      <c r="H48" s="73"/>
      <c r="I48" s="82"/>
      <c r="J48" s="58"/>
      <c r="K48" s="58"/>
    </row>
    <row r="49" spans="1:11" ht="12.75" customHeight="1">
      <c r="A49" s="67"/>
      <c r="B49" s="307" t="s">
        <v>499</v>
      </c>
      <c r="C49" s="307"/>
      <c r="D49" s="307"/>
      <c r="E49" s="306" t="s">
        <v>500</v>
      </c>
      <c r="F49" s="306"/>
      <c r="G49" s="306"/>
      <c r="H49" s="306"/>
      <c r="I49" s="306"/>
      <c r="J49" s="58"/>
      <c r="K49" s="58"/>
    </row>
    <row r="50" spans="1:11" ht="12.75" customHeight="1">
      <c r="A50" s="67"/>
      <c r="B50" s="307"/>
      <c r="C50" s="307"/>
      <c r="D50" s="307"/>
      <c r="E50" s="306"/>
      <c r="F50" s="306"/>
      <c r="G50" s="306"/>
      <c r="H50" s="306"/>
      <c r="I50" s="306"/>
      <c r="J50" s="58"/>
      <c r="K50" s="58"/>
    </row>
    <row r="51" spans="1:11" ht="3.75" customHeight="1">
      <c r="A51" s="39"/>
      <c r="B51" s="38"/>
      <c r="C51" s="39"/>
      <c r="D51" s="39"/>
      <c r="E51" s="39"/>
      <c r="F51" s="38"/>
      <c r="G51" s="38"/>
      <c r="H51" s="38"/>
      <c r="I51" s="40"/>
    </row>
    <row r="52" spans="1:11" ht="12.75" customHeight="1">
      <c r="A52" s="39"/>
      <c r="B52" s="312"/>
      <c r="C52" s="312"/>
      <c r="D52" s="312"/>
      <c r="E52" s="313"/>
      <c r="F52" s="313"/>
      <c r="G52" s="313"/>
      <c r="H52" s="313"/>
      <c r="I52" s="313"/>
    </row>
    <row r="53" spans="1:11" ht="12.75" customHeight="1">
      <c r="A53" s="39"/>
      <c r="B53" s="312"/>
      <c r="C53" s="312"/>
      <c r="D53" s="312"/>
      <c r="E53" s="313"/>
      <c r="F53" s="313"/>
      <c r="G53" s="313"/>
      <c r="H53" s="313"/>
      <c r="I53" s="313"/>
    </row>
    <row r="54" spans="1:11" ht="12.75" customHeight="1">
      <c r="A54" s="39"/>
      <c r="B54" s="45"/>
      <c r="C54" s="39"/>
      <c r="D54" s="39"/>
      <c r="E54" s="39"/>
      <c r="F54" s="38"/>
      <c r="G54" s="38"/>
      <c r="H54" s="38"/>
      <c r="I54" s="40"/>
    </row>
    <row r="55" spans="1:11" ht="12.75" customHeight="1">
      <c r="A55" s="39"/>
      <c r="B55" s="38"/>
      <c r="C55" s="39"/>
      <c r="D55" s="39"/>
      <c r="E55" s="39"/>
      <c r="F55" s="38"/>
      <c r="G55" s="38"/>
      <c r="H55" s="38"/>
      <c r="I55" s="40"/>
    </row>
    <row r="56" spans="1:11" ht="12.75" customHeight="1">
      <c r="A56" s="39"/>
      <c r="B56" s="38"/>
      <c r="C56" s="39"/>
      <c r="D56" s="39"/>
      <c r="E56" s="39"/>
      <c r="F56" s="38"/>
      <c r="G56" s="38"/>
      <c r="H56" s="38"/>
      <c r="I56" s="40"/>
    </row>
  </sheetData>
  <sheetProtection selectLockedCells="1"/>
  <mergeCells count="22">
    <mergeCell ref="B46:D47"/>
    <mergeCell ref="B49:D50"/>
    <mergeCell ref="E46:I47"/>
    <mergeCell ref="E49:I50"/>
    <mergeCell ref="B52:D53"/>
    <mergeCell ref="E52:I53"/>
    <mergeCell ref="D13:E15"/>
    <mergeCell ref="B43:D44"/>
    <mergeCell ref="E40:I41"/>
    <mergeCell ref="E43:I44"/>
    <mergeCell ref="C18:E18"/>
    <mergeCell ref="C16:E16"/>
    <mergeCell ref="C19:E19"/>
    <mergeCell ref="C21:E21"/>
    <mergeCell ref="C23:E23"/>
    <mergeCell ref="C25:E25"/>
    <mergeCell ref="B40:D41"/>
    <mergeCell ref="F3:I3"/>
    <mergeCell ref="F5:I5"/>
    <mergeCell ref="F2:I2"/>
    <mergeCell ref="E6:I6"/>
    <mergeCell ref="D12:E12"/>
  </mergeCells>
  <conditionalFormatting sqref="D12:E12">
    <cfRule type="cellIs" dxfId="13" priority="1" operator="equal">
      <formula>0</formula>
    </cfRule>
  </conditionalFormatting>
  <pageMargins left="0.78740157480314965" right="0.39370078740157483" top="0.39370078740157483" bottom="0.39370078740157483" header="0.51181102362204722" footer="0.51181102362204722"/>
  <pageSetup paperSize="9" orientation="portrait"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6"/>
  <sheetViews>
    <sheetView workbookViewId="0">
      <selection activeCell="B4" sqref="B4"/>
    </sheetView>
  </sheetViews>
  <sheetFormatPr defaultRowHeight="15"/>
  <cols>
    <col min="1" max="1" width="45.5703125" customWidth="1"/>
    <col min="2" max="2" width="9.140625" customWidth="1"/>
    <col min="3" max="3" width="71.7109375" customWidth="1"/>
    <col min="4" max="4" width="31.140625" customWidth="1"/>
    <col min="5" max="5" width="21" customWidth="1"/>
    <col min="6" max="6" width="21.7109375" customWidth="1"/>
  </cols>
  <sheetData>
    <row r="1" spans="1:8">
      <c r="A1" s="4" t="s">
        <v>208</v>
      </c>
      <c r="B1" s="4" t="s">
        <v>209</v>
      </c>
      <c r="C1" s="4" t="s">
        <v>317</v>
      </c>
      <c r="D1" s="4" t="s">
        <v>316</v>
      </c>
      <c r="E1" s="4" t="s">
        <v>314</v>
      </c>
      <c r="F1" s="4" t="s">
        <v>318</v>
      </c>
      <c r="G1" s="4" t="s">
        <v>315</v>
      </c>
      <c r="H1" s="5"/>
    </row>
    <row r="2" spans="1:8">
      <c r="A2" s="214" t="s">
        <v>277</v>
      </c>
      <c r="B2" s="213">
        <v>10</v>
      </c>
      <c r="C2" s="214" t="s">
        <v>119</v>
      </c>
      <c r="D2" s="214" t="s">
        <v>278</v>
      </c>
      <c r="E2" s="215"/>
      <c r="F2" s="214"/>
      <c r="G2" s="30" t="s">
        <v>279</v>
      </c>
    </row>
    <row r="3" spans="1:8">
      <c r="A3" s="214" t="s">
        <v>513</v>
      </c>
      <c r="B3" s="213">
        <v>30</v>
      </c>
      <c r="C3" s="214" t="s">
        <v>389</v>
      </c>
      <c r="D3" s="214" t="s">
        <v>385</v>
      </c>
      <c r="E3" s="47" t="s">
        <v>388</v>
      </c>
      <c r="F3" s="236" t="s">
        <v>387</v>
      </c>
      <c r="G3" s="30" t="s">
        <v>386</v>
      </c>
    </row>
    <row r="4" spans="1:8">
      <c r="A4" s="214" t="s">
        <v>250</v>
      </c>
      <c r="B4" s="213">
        <v>25</v>
      </c>
      <c r="C4" s="215" t="s">
        <v>119</v>
      </c>
      <c r="D4" s="214" t="s">
        <v>251</v>
      </c>
      <c r="E4" s="215"/>
      <c r="F4" s="214"/>
      <c r="G4" s="30" t="s">
        <v>252</v>
      </c>
    </row>
    <row r="5" spans="1:8">
      <c r="A5" s="215" t="s">
        <v>204</v>
      </c>
      <c r="B5" s="213">
        <v>25</v>
      </c>
      <c r="C5" s="214" t="s">
        <v>371</v>
      </c>
      <c r="D5" s="214" t="s">
        <v>218</v>
      </c>
      <c r="E5" s="47" t="s">
        <v>372</v>
      </c>
      <c r="F5" s="214" t="s">
        <v>373</v>
      </c>
      <c r="G5" s="30" t="s">
        <v>226</v>
      </c>
    </row>
    <row r="6" spans="1:8">
      <c r="A6" s="214" t="s">
        <v>213</v>
      </c>
      <c r="B6" s="213">
        <v>37</v>
      </c>
      <c r="C6" s="214" t="s">
        <v>422</v>
      </c>
      <c r="D6" s="214" t="s">
        <v>219</v>
      </c>
      <c r="E6" s="47" t="s">
        <v>421</v>
      </c>
      <c r="F6" s="214" t="s">
        <v>420</v>
      </c>
      <c r="G6" s="30" t="s">
        <v>232</v>
      </c>
    </row>
    <row r="7" spans="1:8">
      <c r="A7" s="214" t="s">
        <v>295</v>
      </c>
      <c r="B7" s="213">
        <v>30</v>
      </c>
      <c r="C7" s="214" t="s">
        <v>354</v>
      </c>
      <c r="D7" s="214" t="s">
        <v>296</v>
      </c>
      <c r="E7" s="47" t="s">
        <v>355</v>
      </c>
      <c r="F7" s="214" t="s">
        <v>356</v>
      </c>
      <c r="G7" s="30" t="s">
        <v>297</v>
      </c>
    </row>
    <row r="8" spans="1:8">
      <c r="A8" s="214" t="s">
        <v>214</v>
      </c>
      <c r="B8" s="213">
        <v>25</v>
      </c>
      <c r="C8" s="214" t="s">
        <v>216</v>
      </c>
      <c r="D8" s="214" t="s">
        <v>241</v>
      </c>
      <c r="E8" s="215"/>
      <c r="F8" s="214"/>
      <c r="G8" s="30" t="s">
        <v>217</v>
      </c>
    </row>
    <row r="9" spans="1:8">
      <c r="A9" s="214" t="s">
        <v>265</v>
      </c>
      <c r="B9" s="213">
        <v>25</v>
      </c>
      <c r="C9" s="214" t="s">
        <v>266</v>
      </c>
      <c r="D9" s="214" t="s">
        <v>267</v>
      </c>
      <c r="E9" s="214"/>
      <c r="F9" s="214"/>
      <c r="G9" s="30" t="s">
        <v>268</v>
      </c>
    </row>
    <row r="10" spans="1:8">
      <c r="A10" s="214" t="s">
        <v>246</v>
      </c>
      <c r="B10" s="213">
        <v>25</v>
      </c>
      <c r="C10" s="214" t="s">
        <v>247</v>
      </c>
      <c r="D10" s="214" t="s">
        <v>248</v>
      </c>
      <c r="E10" s="215"/>
      <c r="F10" s="214"/>
      <c r="G10" s="30" t="s">
        <v>249</v>
      </c>
    </row>
    <row r="11" spans="1:8">
      <c r="A11" s="214" t="s">
        <v>212</v>
      </c>
      <c r="B11" s="213">
        <v>25</v>
      </c>
      <c r="C11" s="214" t="s">
        <v>393</v>
      </c>
      <c r="D11" s="214" t="s">
        <v>220</v>
      </c>
      <c r="E11" s="47" t="s">
        <v>394</v>
      </c>
      <c r="F11" s="214" t="s">
        <v>395</v>
      </c>
      <c r="G11" s="30" t="s">
        <v>228</v>
      </c>
    </row>
    <row r="12" spans="1:8">
      <c r="A12" s="214" t="s">
        <v>240</v>
      </c>
      <c r="B12" s="213">
        <v>25</v>
      </c>
      <c r="C12" s="214" t="s">
        <v>119</v>
      </c>
      <c r="D12" s="214" t="s">
        <v>235</v>
      </c>
      <c r="E12" s="215"/>
      <c r="F12" s="214"/>
      <c r="G12" s="30" t="s">
        <v>236</v>
      </c>
    </row>
    <row r="13" spans="1:8">
      <c r="A13" s="214" t="s">
        <v>211</v>
      </c>
      <c r="B13" s="213">
        <v>30</v>
      </c>
      <c r="C13" s="214" t="s">
        <v>396</v>
      </c>
      <c r="D13" s="214" t="s">
        <v>397</v>
      </c>
      <c r="E13" s="47" t="s">
        <v>399</v>
      </c>
      <c r="F13" s="214" t="s">
        <v>400</v>
      </c>
      <c r="G13" s="30" t="s">
        <v>398</v>
      </c>
    </row>
    <row r="14" spans="1:8">
      <c r="A14" s="214" t="s">
        <v>404</v>
      </c>
      <c r="B14" s="213">
        <v>25</v>
      </c>
      <c r="C14" s="214" t="s">
        <v>405</v>
      </c>
      <c r="D14" s="214" t="s">
        <v>406</v>
      </c>
      <c r="E14" s="47" t="s">
        <v>407</v>
      </c>
      <c r="F14" s="214" t="s">
        <v>408</v>
      </c>
      <c r="G14" s="49" t="s">
        <v>409</v>
      </c>
    </row>
    <row r="15" spans="1:8">
      <c r="A15" s="214" t="s">
        <v>206</v>
      </c>
      <c r="B15" s="213">
        <v>25</v>
      </c>
      <c r="C15" s="214" t="s">
        <v>412</v>
      </c>
      <c r="D15" s="214" t="s">
        <v>221</v>
      </c>
      <c r="E15" s="47" t="s">
        <v>413</v>
      </c>
      <c r="F15" s="214" t="s">
        <v>414</v>
      </c>
      <c r="G15" s="30" t="s">
        <v>229</v>
      </c>
    </row>
    <row r="16" spans="1:8">
      <c r="A16" s="214" t="s">
        <v>207</v>
      </c>
      <c r="B16" s="213">
        <v>25</v>
      </c>
      <c r="C16" s="214" t="s">
        <v>119</v>
      </c>
      <c r="D16" s="214" t="s">
        <v>230</v>
      </c>
      <c r="E16" s="215"/>
      <c r="F16" s="214"/>
      <c r="G16" s="30" t="s">
        <v>231</v>
      </c>
    </row>
    <row r="17" spans="1:7">
      <c r="A17" s="215" t="s">
        <v>205</v>
      </c>
      <c r="B17" s="213">
        <v>30</v>
      </c>
      <c r="C17" s="214" t="s">
        <v>215</v>
      </c>
      <c r="D17" s="214" t="s">
        <v>243</v>
      </c>
      <c r="E17" s="215"/>
      <c r="F17" s="214"/>
      <c r="G17" s="30" t="s">
        <v>263</v>
      </c>
    </row>
    <row r="18" spans="1:7">
      <c r="A18" s="35" t="s">
        <v>272</v>
      </c>
      <c r="B18" s="213">
        <v>20</v>
      </c>
      <c r="C18" s="214" t="s">
        <v>119</v>
      </c>
      <c r="D18" s="214" t="s">
        <v>273</v>
      </c>
      <c r="E18" s="214"/>
      <c r="F18" s="214"/>
      <c r="G18" s="30" t="s">
        <v>274</v>
      </c>
    </row>
    <row r="19" spans="1:7">
      <c r="A19" s="214" t="s">
        <v>382</v>
      </c>
      <c r="B19" s="213">
        <v>25</v>
      </c>
      <c r="C19" s="214" t="s">
        <v>377</v>
      </c>
      <c r="D19" s="214" t="s">
        <v>378</v>
      </c>
      <c r="E19" s="215" t="s">
        <v>379</v>
      </c>
      <c r="F19" s="214" t="s">
        <v>380</v>
      </c>
      <c r="G19" s="30" t="s">
        <v>381</v>
      </c>
    </row>
    <row r="20" spans="1:7">
      <c r="A20" s="214" t="s">
        <v>260</v>
      </c>
      <c r="B20" s="213">
        <v>25</v>
      </c>
      <c r="C20" s="214" t="s">
        <v>460</v>
      </c>
      <c r="D20" s="214" t="s">
        <v>261</v>
      </c>
      <c r="E20" s="47" t="s">
        <v>461</v>
      </c>
      <c r="F20" s="214" t="s">
        <v>462</v>
      </c>
      <c r="G20" s="30" t="s">
        <v>262</v>
      </c>
    </row>
    <row r="21" spans="1:7">
      <c r="A21" s="214" t="s">
        <v>492</v>
      </c>
      <c r="B21" s="213">
        <v>30</v>
      </c>
      <c r="C21" s="214" t="s">
        <v>496</v>
      </c>
      <c r="D21" s="214" t="s">
        <v>493</v>
      </c>
      <c r="E21" s="214"/>
      <c r="F21" s="214" t="s">
        <v>495</v>
      </c>
      <c r="G21" s="30" t="s">
        <v>494</v>
      </c>
    </row>
    <row r="22" spans="1:7">
      <c r="A22" s="214" t="s">
        <v>303</v>
      </c>
      <c r="B22" s="213">
        <v>20</v>
      </c>
      <c r="C22" s="215" t="s">
        <v>119</v>
      </c>
      <c r="D22" s="214" t="s">
        <v>304</v>
      </c>
      <c r="E22" s="215"/>
      <c r="F22" s="214"/>
      <c r="G22" s="30" t="s">
        <v>305</v>
      </c>
    </row>
    <row r="23" spans="1:7">
      <c r="A23" s="215" t="s">
        <v>367</v>
      </c>
      <c r="B23" s="213">
        <v>5</v>
      </c>
      <c r="C23" s="35" t="s">
        <v>366</v>
      </c>
      <c r="D23" s="214" t="s">
        <v>368</v>
      </c>
      <c r="E23" s="215"/>
      <c r="F23" s="214" t="s">
        <v>370</v>
      </c>
      <c r="G23" s="49" t="s">
        <v>369</v>
      </c>
    </row>
    <row r="24" spans="1:7">
      <c r="A24" s="215" t="s">
        <v>450</v>
      </c>
      <c r="B24" s="213">
        <v>30</v>
      </c>
      <c r="C24" s="214" t="s">
        <v>451</v>
      </c>
      <c r="D24" s="214" t="s">
        <v>452</v>
      </c>
      <c r="E24" s="47" t="s">
        <v>454</v>
      </c>
      <c r="F24" s="215" t="s">
        <v>453</v>
      </c>
      <c r="G24" s="30"/>
    </row>
    <row r="25" spans="1:7">
      <c r="A25" s="214" t="s">
        <v>282</v>
      </c>
      <c r="B25" s="213">
        <v>30</v>
      </c>
      <c r="C25" s="214" t="s">
        <v>390</v>
      </c>
      <c r="D25" s="214" t="s">
        <v>283</v>
      </c>
      <c r="E25" s="47" t="s">
        <v>419</v>
      </c>
      <c r="F25" s="214" t="s">
        <v>391</v>
      </c>
      <c r="G25" s="30" t="s">
        <v>284</v>
      </c>
    </row>
    <row r="26" spans="1:7">
      <c r="A26" s="214" t="s">
        <v>210</v>
      </c>
      <c r="B26" s="213">
        <v>25</v>
      </c>
      <c r="C26" s="214" t="s">
        <v>119</v>
      </c>
      <c r="D26" s="214" t="s">
        <v>222</v>
      </c>
      <c r="E26" s="215"/>
      <c r="F26" s="214"/>
      <c r="G26" s="30" t="s">
        <v>227</v>
      </c>
    </row>
    <row r="27" spans="1:7">
      <c r="A27" s="214" t="s">
        <v>269</v>
      </c>
      <c r="B27" s="213">
        <v>20</v>
      </c>
      <c r="C27" s="214" t="s">
        <v>456</v>
      </c>
      <c r="D27" s="214" t="s">
        <v>270</v>
      </c>
      <c r="E27" s="47" t="s">
        <v>458</v>
      </c>
      <c r="F27" s="214" t="s">
        <v>457</v>
      </c>
      <c r="G27" s="30" t="s">
        <v>271</v>
      </c>
    </row>
    <row r="28" spans="1:7">
      <c r="A28" s="214" t="s">
        <v>359</v>
      </c>
      <c r="B28" s="213">
        <v>0</v>
      </c>
      <c r="C28" s="214" t="s">
        <v>358</v>
      </c>
      <c r="D28" s="214" t="s">
        <v>360</v>
      </c>
      <c r="E28" s="214"/>
      <c r="F28" s="214" t="s">
        <v>362</v>
      </c>
      <c r="G28" s="49" t="s">
        <v>361</v>
      </c>
    </row>
    <row r="29" spans="1:7">
      <c r="A29" s="215" t="s">
        <v>253</v>
      </c>
      <c r="B29" s="213">
        <v>25</v>
      </c>
      <c r="C29" s="214" t="s">
        <v>119</v>
      </c>
      <c r="D29" s="214" t="s">
        <v>254</v>
      </c>
      <c r="E29" s="215"/>
      <c r="F29" s="214"/>
      <c r="G29" s="30" t="s">
        <v>255</v>
      </c>
    </row>
    <row r="30" spans="1:7">
      <c r="A30" s="35" t="s">
        <v>484</v>
      </c>
      <c r="B30" s="213">
        <v>25</v>
      </c>
      <c r="C30" s="214" t="s">
        <v>479</v>
      </c>
      <c r="D30" s="214" t="s">
        <v>480</v>
      </c>
      <c r="E30" s="47" t="s">
        <v>482</v>
      </c>
      <c r="F30" s="214" t="s">
        <v>483</v>
      </c>
      <c r="G30" s="30" t="s">
        <v>481</v>
      </c>
    </row>
    <row r="31" spans="1:7">
      <c r="A31" s="215" t="s">
        <v>238</v>
      </c>
      <c r="B31" s="213">
        <v>30</v>
      </c>
      <c r="C31" s="214" t="s">
        <v>403</v>
      </c>
      <c r="D31" s="214" t="s">
        <v>239</v>
      </c>
      <c r="E31" s="47" t="s">
        <v>401</v>
      </c>
      <c r="F31" s="214" t="s">
        <v>402</v>
      </c>
      <c r="G31" s="30" t="s">
        <v>242</v>
      </c>
    </row>
    <row r="32" spans="1:7">
      <c r="A32" s="214" t="s">
        <v>244</v>
      </c>
      <c r="B32" s="213">
        <v>30</v>
      </c>
      <c r="C32" s="214" t="s">
        <v>410</v>
      </c>
      <c r="D32" s="214" t="s">
        <v>245</v>
      </c>
      <c r="E32" s="214"/>
      <c r="F32" s="214" t="s">
        <v>411</v>
      </c>
      <c r="G32" s="30" t="s">
        <v>299</v>
      </c>
    </row>
    <row r="33" spans="1:7">
      <c r="A33" s="214" t="s">
        <v>203</v>
      </c>
      <c r="B33" s="213">
        <v>37</v>
      </c>
      <c r="C33" s="214" t="s">
        <v>312</v>
      </c>
      <c r="D33" s="214" t="s">
        <v>223</v>
      </c>
      <c r="E33" s="47" t="s">
        <v>383</v>
      </c>
      <c r="F33" s="214" t="s">
        <v>384</v>
      </c>
      <c r="G33" s="30" t="s">
        <v>233</v>
      </c>
    </row>
    <row r="34" spans="1:7">
      <c r="A34" s="214" t="s">
        <v>202</v>
      </c>
      <c r="B34" s="213">
        <v>37</v>
      </c>
      <c r="C34" s="214" t="s">
        <v>376</v>
      </c>
      <c r="D34" s="214" t="s">
        <v>224</v>
      </c>
      <c r="E34" s="47" t="s">
        <v>374</v>
      </c>
      <c r="F34" s="214" t="s">
        <v>375</v>
      </c>
      <c r="G34" s="30" t="s">
        <v>234</v>
      </c>
    </row>
    <row r="35" spans="1:7" ht="14.25" customHeight="1">
      <c r="A35" s="214" t="s">
        <v>237</v>
      </c>
      <c r="B35" s="213">
        <v>34</v>
      </c>
      <c r="C35" s="215" t="s">
        <v>353</v>
      </c>
      <c r="D35" s="214" t="s">
        <v>485</v>
      </c>
      <c r="E35" s="48" t="s">
        <v>487</v>
      </c>
      <c r="F35" s="214" t="s">
        <v>488</v>
      </c>
      <c r="G35" s="30" t="s">
        <v>486</v>
      </c>
    </row>
    <row r="36" spans="1:7">
      <c r="A36" s="35" t="s">
        <v>438</v>
      </c>
      <c r="B36" s="213">
        <v>25</v>
      </c>
      <c r="C36" s="214" t="s">
        <v>437</v>
      </c>
      <c r="D36" s="214" t="s">
        <v>435</v>
      </c>
      <c r="E36" s="47" t="s">
        <v>433</v>
      </c>
      <c r="F36" s="214" t="s">
        <v>436</v>
      </c>
      <c r="G36" s="49" t="s">
        <v>434</v>
      </c>
    </row>
  </sheetData>
  <hyperlinks>
    <hyperlink ref="F20" r:id="rId1" display="mailto:denis@icaplast.ru" xr:uid="{00000000-0004-0000-0200-000000000000}"/>
    <hyperlink ref="F3" r:id="rId2" xr:uid="{00000000-0004-0000-0200-000001000000}"/>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2:AC67"/>
  <sheetViews>
    <sheetView workbookViewId="0">
      <selection activeCell="H4" sqref="H4"/>
    </sheetView>
  </sheetViews>
  <sheetFormatPr defaultRowHeight="15"/>
  <cols>
    <col min="1" max="1" width="4.5703125" style="3" customWidth="1"/>
    <col min="2" max="2" width="13" customWidth="1"/>
    <col min="3" max="3" width="12" customWidth="1"/>
    <col min="5" max="5" width="10.140625" customWidth="1"/>
    <col min="6" max="6" width="16.140625" customWidth="1"/>
    <col min="7" max="7" width="12.85546875" customWidth="1"/>
    <col min="10" max="10" width="10.140625" bestFit="1" customWidth="1"/>
    <col min="15" max="15" width="10.5703125" bestFit="1" customWidth="1"/>
    <col min="16" max="16" width="9.28515625" customWidth="1"/>
    <col min="17" max="17" width="6" customWidth="1"/>
    <col min="18" max="18" width="3.85546875" customWidth="1"/>
    <col min="19" max="19" width="8.42578125" customWidth="1"/>
    <col min="21" max="21" width="3" customWidth="1"/>
    <col min="23" max="24" width="10.5703125" bestFit="1" customWidth="1"/>
    <col min="25" max="26" width="10.5703125" customWidth="1"/>
    <col min="27" max="27" width="4.28515625" customWidth="1"/>
    <col min="28" max="28" width="32.7109375" customWidth="1"/>
    <col min="29" max="29" width="9.140625" style="3"/>
    <col min="30" max="30" width="71.5703125" customWidth="1"/>
    <col min="31" max="31" width="23.85546875" customWidth="1"/>
    <col min="32" max="32" width="25.7109375" customWidth="1"/>
    <col min="33" max="33" width="27.5703125" customWidth="1"/>
    <col min="34" max="34" width="16.85546875" customWidth="1"/>
  </cols>
  <sheetData>
    <row r="2" spans="1:29" s="5" customFormat="1">
      <c r="A2" s="4"/>
      <c r="B2" s="5" t="s">
        <v>63</v>
      </c>
      <c r="G2" s="4" t="str">
        <f>Опросник!C2</f>
        <v>КНС</v>
      </c>
      <c r="H2" s="5" t="s">
        <v>64</v>
      </c>
      <c r="J2" s="6">
        <v>43502</v>
      </c>
      <c r="L2" s="314" t="s">
        <v>69</v>
      </c>
      <c r="M2" s="314"/>
      <c r="Q2" s="28"/>
      <c r="R2"/>
    </row>
    <row r="3" spans="1:29">
      <c r="A3" s="3" t="s">
        <v>3</v>
      </c>
      <c r="B3" s="3" t="s">
        <v>105</v>
      </c>
      <c r="C3" s="3" t="s">
        <v>12</v>
      </c>
      <c r="D3" s="3" t="s">
        <v>114</v>
      </c>
      <c r="E3" s="3" t="s">
        <v>106</v>
      </c>
      <c r="F3" s="3" t="s">
        <v>300</v>
      </c>
      <c r="G3" s="3" t="s">
        <v>3</v>
      </c>
      <c r="H3" s="3" t="s">
        <v>65</v>
      </c>
      <c r="I3" s="3" t="s">
        <v>66</v>
      </c>
      <c r="J3" s="3" t="s">
        <v>67</v>
      </c>
      <c r="K3" s="3" t="s">
        <v>68</v>
      </c>
      <c r="L3" s="41" t="s">
        <v>81</v>
      </c>
      <c r="M3" s="3" t="s">
        <v>324</v>
      </c>
      <c r="N3" s="3" t="s">
        <v>103</v>
      </c>
      <c r="O3" s="3" t="s">
        <v>70</v>
      </c>
      <c r="P3" s="3" t="s">
        <v>71</v>
      </c>
      <c r="Q3" s="314" t="s">
        <v>101</v>
      </c>
      <c r="R3" s="315"/>
      <c r="S3" s="41" t="s">
        <v>81</v>
      </c>
      <c r="T3" s="41" t="s">
        <v>325</v>
      </c>
      <c r="U3" s="3" t="s">
        <v>327</v>
      </c>
      <c r="V3" s="30"/>
      <c r="W3" s="30"/>
      <c r="X3" s="30"/>
      <c r="Y3" s="30"/>
      <c r="Z3" s="30"/>
      <c r="AA3" s="30"/>
      <c r="AC3"/>
    </row>
    <row r="4" spans="1:29">
      <c r="A4" s="3">
        <v>0</v>
      </c>
      <c r="B4" s="3">
        <v>0</v>
      </c>
      <c r="D4" s="57">
        <f>IF(OR(Опросник!C2="КУУ",Опросник!C2="ПНС"),3,1)</f>
        <v>1</v>
      </c>
      <c r="G4" s="3"/>
      <c r="H4" s="26">
        <f>IF(Опросник!D10&lt;=Опросник!D14+300, (Опросник!D6-Опросник!D14)+1000,Опросник!D6-Опросник!D14)/1000*Опросник!F21</f>
        <v>10.199999999999999</v>
      </c>
      <c r="I4" s="26">
        <f>IF(AND(Опросник!F13=1,Опросник!F14=1,Опросник!F21=1),1,IF(AND(Опросник!F13=2,Опросник!F14=2,Опросник!F21=2,Опросник!D10&lt;=Опросник!D14),6,IF(AND(Опросник!F13=2,Опросник!F14=3,Опросник!F21=2),2,IF(AND(Опросник!F13=2,Опросник!F14=5,Опросник!F21=2),2,IF(AND(Опросник!F13=2,Опросник!F14=3,Опросник!F21=3),2,IF(AND(Опросник!F13=1,Опросник!F14=3,Опросник!F21=3),2,IF(AND(Опросник!F13=3,Опросник!F14=3,Опросник!F21=3),3,IF(AND(Опросник!F13=2,Опросник!F14=5,Опросник!F21=3),4,IF(AND(Опросник!F13=2,Опросник!F14=7,Опросник!F21=3),4,IF(AND(Опросник!F13=1,Опросник!F14=4,Опросник!F21=3),2,IF(AND(Опросник!F13=2,Опросник!F14=5,Опросник!F21=2),2,IF(AND(Опросник!F13=1,Опросник!F14=2,Опросник!F21=2,Опросник!D10&lt;=Опросник!D14),3,2))))))))))))</f>
        <v>2</v>
      </c>
      <c r="J4" s="26">
        <f>IF(AND(Опросник!F13=1,Опросник!F14=1,Опросник!F21=1),0,IF(AND(Опросник!F13=1,Опросник!F14=2,Опросник!F21=2),1,IF(AND(Опросник!F13=2,Опросник!F14=2,Опросник!F21=2),0,IF(AND(Опросник!F13=2,Опросник!F14=3,Опросник!F21=2),2,IF(AND(Опросник!F13=2,Опросник!F14=5,Опросник!F21=2),2,IF(AND(Опросник!F13=2,Опросник!F14=3,Опросник!F21=3),3,IF(AND(Опросник!F13=1,Опросник!F14=3,Опросник!F21=3),1,IF(AND(Опросник!F13=2,Опросник!F14=5,Опросник!F21=3),3,IF(AND(Опросник!F13=2,Опросник!F14=7,Опросник!F21=3),3,IF(AND(Опросник!F13=1,Опросник!F14=4,Опросник!F21=3),1,IF(AND(Опросник!F13=2,Опросник!F14=5,Опросник!F21=2),2,IF(AND(Опросник!F13=3,Опросник!F14=3,Опросник!F21=3),3))))))))))))</f>
        <v>1</v>
      </c>
      <c r="K4" s="26">
        <f>IF(AND(Опросник!F13=1,Опросник!F14=1,Опросник!F21=1),5,IF(AND(Опросник!F13=1,Опросник!F14=2,Опросник!F21=2),8,IF(AND(Опросник!F13=2,Опросник!F14=2,Опросник!F21=2),10,IF(AND(Опросник!F13=2,Опросник!F14=3,Опросник!F21=2),16,IF(AND(Опросник!F13=2,Опросник!F14=5,Опросник!F21=2),16,IF(AND(Опросник!F13=2,Опросник!F14=3,Опросник!F21=3),13,IF(AND(Опросник!F13=1,Опросник!F14=3,Опросник!F21=3),11,IF(AND(Опросник!F13=3,Опросник!F14=3,Опросник!F21=3),19,IF(AND(Опросник!F13=2,Опросник!F14=5,Опросник!F21=3),13,IF(AND(Опросник!F13=2,Опросник!F14=7,Опросник!F21=3),17,IF(AND(Опросник!F13=1,Опросник!F14=4,Опросник!F21=3),11,IF(AND(Опросник!F13=2,Опросник!F14=5,Опросник!F21=2),12,IF(AND(Опросник!C2="КУУ",Опросник!C2="ПНС",Опросник!C2="КГН"),2*Опросник!F9*Опросник!F13,0)))))))))))))+Опросник!F11*6</f>
        <v>8</v>
      </c>
      <c r="L4" s="316">
        <f>K4</f>
        <v>8</v>
      </c>
      <c r="M4" s="316"/>
      <c r="N4" s="26">
        <f>L4+O4+P4</f>
        <v>12</v>
      </c>
      <c r="O4" s="26">
        <f>Опросник!F14</f>
        <v>2</v>
      </c>
      <c r="P4" s="26">
        <f>Опросник!F21*Опросник!D15</f>
        <v>2</v>
      </c>
      <c r="Q4" s="316" t="s">
        <v>102</v>
      </c>
      <c r="R4" s="315"/>
      <c r="S4" s="33">
        <v>4</v>
      </c>
      <c r="U4" s="3" t="s">
        <v>328</v>
      </c>
      <c r="W4" t="s">
        <v>429</v>
      </c>
      <c r="X4" t="s">
        <v>430</v>
      </c>
      <c r="Y4" s="3" t="s">
        <v>415</v>
      </c>
      <c r="Z4" s="3" t="s">
        <v>416</v>
      </c>
      <c r="AA4" s="3"/>
      <c r="AC4"/>
    </row>
    <row r="5" spans="1:29">
      <c r="A5" s="3" t="s">
        <v>3</v>
      </c>
      <c r="G5" s="3">
        <v>25</v>
      </c>
      <c r="H5" s="7">
        <v>590</v>
      </c>
      <c r="I5" s="7">
        <v>303</v>
      </c>
      <c r="J5" s="7">
        <v>440</v>
      </c>
      <c r="K5" s="7">
        <v>150</v>
      </c>
      <c r="L5" s="41" t="s">
        <v>501</v>
      </c>
      <c r="M5" s="7">
        <v>363</v>
      </c>
      <c r="N5" s="7">
        <v>25</v>
      </c>
      <c r="O5" s="7"/>
      <c r="P5" s="7"/>
      <c r="U5" s="3" t="s">
        <v>329</v>
      </c>
      <c r="V5" s="3">
        <v>25</v>
      </c>
      <c r="W5" s="32">
        <f>H5*(Опросник!$D$14/1000)+Прайс!J5+Прайс!K5*3+Прайс!M5*3+O5*Расчет!$F$14</f>
        <v>2569</v>
      </c>
      <c r="X5" s="32">
        <f>J5*6+K5*1+L5*2+N5*2+O5*2+I5*(Прайс!$H$4/2+Расчет!$C$2*2)</f>
        <v>8620.9</v>
      </c>
      <c r="Y5" s="32"/>
      <c r="Z5" s="32"/>
      <c r="AA5" s="32"/>
      <c r="AC5"/>
    </row>
    <row r="6" spans="1:29">
      <c r="A6" s="3">
        <v>40</v>
      </c>
      <c r="B6" s="32">
        <f>$H$4*H6+$I$4*I6+$J$4*J6+$K$4*K6+$N$4*N6+$L$4*HLOOKUP(Опросник!$C$13,$L$3:$M$19,U6)+Q6*HLOOKUP(Опросник!$B$20,$S$3:$T$19,U6)</f>
        <v>16782.599999999999</v>
      </c>
      <c r="C6" s="32">
        <f>(O6*$O$4+P6*$P$4)*Опросник!B$3</f>
        <v>217680850.39999998</v>
      </c>
      <c r="D6" s="32">
        <f>A6/2*Опросник!$F$21*100/$D$4</f>
        <v>4000</v>
      </c>
      <c r="E6" s="32">
        <f>B6+D6</f>
        <v>20782.599999999999</v>
      </c>
      <c r="F6" s="32">
        <f>IF(Опросник!$D$21=40,((Опросник!$F$13*(H6+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6" s="3">
        <v>40</v>
      </c>
      <c r="H6" s="7">
        <v>903</v>
      </c>
      <c r="I6" s="7">
        <v>374</v>
      </c>
      <c r="J6" s="7">
        <v>440</v>
      </c>
      <c r="K6" s="7">
        <v>150</v>
      </c>
      <c r="L6" s="7">
        <v>1330</v>
      </c>
      <c r="M6" s="7">
        <v>363</v>
      </c>
      <c r="N6" s="8">
        <v>40</v>
      </c>
      <c r="O6" s="32">
        <v>63.54</v>
      </c>
      <c r="P6" s="32">
        <v>56.06</v>
      </c>
      <c r="Q6" s="7">
        <f t="shared" ref="Q6:Q19" si="0">($L$4+1)*R6</f>
        <v>36</v>
      </c>
      <c r="R6" s="27">
        <v>4</v>
      </c>
      <c r="S6" s="33">
        <f t="shared" ref="S6:S19" si="1">T6*$S$4</f>
        <v>200</v>
      </c>
      <c r="T6" s="33">
        <v>50</v>
      </c>
      <c r="U6" s="3" t="s">
        <v>330</v>
      </c>
      <c r="V6" s="3">
        <v>40</v>
      </c>
      <c r="W6" s="32">
        <f>H6*(Опросник!$D$14/1000)+Прайс!J6+Прайс!K6*3+Прайс!M6*3+O6*Расчет!$F$14</f>
        <v>57826632.979999997</v>
      </c>
      <c r="X6" s="32">
        <f>J6*6+K6*1+L6*2+N6*2+O6*2+I6*(Прайс!$H$4/2+Расчет!$C$2*2)</f>
        <v>9509.2800000000007</v>
      </c>
      <c r="Y6" s="32">
        <v>162</v>
      </c>
      <c r="Z6" s="32">
        <v>376.34</v>
      </c>
      <c r="AA6" s="32"/>
      <c r="AC6"/>
    </row>
    <row r="7" spans="1:29">
      <c r="A7" s="3">
        <v>50</v>
      </c>
      <c r="B7" s="32">
        <f>$H$4*H7+$I$4*I7+$J$4*J7+$K$4*K7+$N$4*N7+$L$4*HLOOKUP(Опросник!$C$13,$L$3:$M$19,U7)+Q7*HLOOKUP(Опросник!$B$20,$S$3:$T$19,U7)</f>
        <v>20669</v>
      </c>
      <c r="C7" s="32">
        <f>(O7*$O$4+P7*$P$4)*Опросник!B$3</f>
        <v>224742737.51999998</v>
      </c>
      <c r="D7" s="32">
        <f>A7/2*Опросник!$F$21*100/$D$4</f>
        <v>5000</v>
      </c>
      <c r="E7" s="32">
        <f t="shared" ref="E7:E17" si="2">B7+D7</f>
        <v>25669</v>
      </c>
      <c r="F7" s="32">
        <f>IF(Опросник!$D$21=50,((Опросник!$F$13*(H7+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6922.5</v>
      </c>
      <c r="G7" s="3">
        <v>50</v>
      </c>
      <c r="H7" s="7">
        <v>1155</v>
      </c>
      <c r="I7" s="7">
        <v>500</v>
      </c>
      <c r="J7" s="7">
        <v>600</v>
      </c>
      <c r="K7" s="7">
        <v>160</v>
      </c>
      <c r="L7" s="7">
        <v>1575</v>
      </c>
      <c r="M7" s="7">
        <v>451</v>
      </c>
      <c r="N7" s="8">
        <v>50</v>
      </c>
      <c r="O7" s="32">
        <v>65.8</v>
      </c>
      <c r="P7" s="32">
        <v>57.68</v>
      </c>
      <c r="Q7" s="7">
        <f t="shared" si="0"/>
        <v>36</v>
      </c>
      <c r="R7" s="27">
        <v>4</v>
      </c>
      <c r="S7" s="33">
        <f t="shared" si="1"/>
        <v>200</v>
      </c>
      <c r="T7" s="33">
        <v>50</v>
      </c>
      <c r="U7" s="3">
        <v>5</v>
      </c>
      <c r="V7" s="3">
        <v>50</v>
      </c>
      <c r="W7" s="32">
        <f>H7*(Опросник!$D$14/1000)+Прайс!J7+Прайс!K7*3+Прайс!M7*3+O7*Расчет!$F$14</f>
        <v>59884022.599999994</v>
      </c>
      <c r="X7" s="32">
        <f>J7*6+K7*1+L7*2+N7*2+O7*2+I7*(Прайс!$H$4/2+Расчет!$C$2*2)</f>
        <v>12291.6</v>
      </c>
      <c r="Y7" s="32">
        <v>317</v>
      </c>
      <c r="Z7" s="32">
        <v>333.53</v>
      </c>
      <c r="AA7" s="32"/>
      <c r="AC7"/>
    </row>
    <row r="8" spans="1:29">
      <c r="A8" s="3">
        <v>65</v>
      </c>
      <c r="B8" s="32">
        <f>$H$4*H8+$I$4*I8+$J$4*J8+$K$4*K8+$N$4*N8+$L$4*HLOOKUP(Опросник!$C$13,$L$3:$M$19,U8)+Q8*HLOOKUP(Опросник!$B$20,$S$3:$T$19,U8)</f>
        <v>25560</v>
      </c>
      <c r="C8" s="32">
        <f>(O8*$O$4+P8*$P$4)*Опросник!B$3</f>
        <v>307355896.38</v>
      </c>
      <c r="D8" s="32">
        <f>A8/2*Опросник!$F$21*100/$D$4</f>
        <v>6500</v>
      </c>
      <c r="E8" s="32">
        <f t="shared" si="2"/>
        <v>32060</v>
      </c>
      <c r="F8" s="32">
        <f>IF(Опросник!$D$21=65,((Опросник!$F$13*(H8+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8" s="3">
        <v>65</v>
      </c>
      <c r="H8" s="7">
        <v>1430</v>
      </c>
      <c r="I8" s="7">
        <v>825</v>
      </c>
      <c r="J8" s="7">
        <v>840</v>
      </c>
      <c r="K8" s="7">
        <v>238</v>
      </c>
      <c r="L8" s="7">
        <v>2002</v>
      </c>
      <c r="M8" s="7">
        <v>500</v>
      </c>
      <c r="N8" s="8">
        <v>65</v>
      </c>
      <c r="O8" s="32">
        <v>83</v>
      </c>
      <c r="P8" s="32">
        <v>85.87</v>
      </c>
      <c r="Q8" s="7">
        <f t="shared" si="0"/>
        <v>36</v>
      </c>
      <c r="R8" s="27">
        <v>4</v>
      </c>
      <c r="S8" s="33">
        <f t="shared" si="1"/>
        <v>200</v>
      </c>
      <c r="T8" s="33">
        <v>50</v>
      </c>
      <c r="U8" s="3" t="s">
        <v>331</v>
      </c>
      <c r="V8" s="3">
        <v>65</v>
      </c>
      <c r="W8" s="32">
        <f>H8*(Опросник!$D$14/1000)+Прайс!J8+Прайс!K8*3+Прайс!M8*3+O8*Расчет!$F$14</f>
        <v>75537555</v>
      </c>
      <c r="X8" s="32">
        <f>J8*6+K8*1+L8*2+N8*2+O8*2+I8*(Прайс!$H$4/2+Расчет!$C$2*2)</f>
        <v>18075.5</v>
      </c>
      <c r="Y8" s="32">
        <v>324</v>
      </c>
      <c r="Z8" s="32">
        <v>422.31</v>
      </c>
      <c r="AA8" s="32"/>
      <c r="AC8"/>
    </row>
    <row r="9" spans="1:29">
      <c r="A9" s="3">
        <v>80</v>
      </c>
      <c r="B9" s="32">
        <f>$H$4*H9+$I$4*I9+$J$4*J9+$K$4*K9+$N$4*N9+$L$4*HLOOKUP(Опросник!$C$13,$L$3:$M$19,U9)+Q9*HLOOKUP(Опросник!$B$20,$S$3:$T$19,U9)</f>
        <v>34688</v>
      </c>
      <c r="C9" s="32">
        <f>(O9*$O$4+P9*$P$4)*Опросник!B$3</f>
        <v>360374652</v>
      </c>
      <c r="D9" s="32">
        <f>A9/2*Опросник!$F$21*100/$D$4</f>
        <v>8000</v>
      </c>
      <c r="E9" s="32">
        <f t="shared" si="2"/>
        <v>42688</v>
      </c>
      <c r="F9" s="32">
        <f>IF(Опросник!$D$21=80,((Опросник!$F$13*(H9+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9" s="3">
        <v>80</v>
      </c>
      <c r="H9" s="7">
        <v>1815</v>
      </c>
      <c r="I9" s="7">
        <v>1155</v>
      </c>
      <c r="J9" s="7">
        <v>1265</v>
      </c>
      <c r="K9" s="7">
        <v>305</v>
      </c>
      <c r="L9" s="7">
        <v>2420</v>
      </c>
      <c r="M9" s="7">
        <v>700</v>
      </c>
      <c r="N9" s="8">
        <v>80</v>
      </c>
      <c r="O9" s="32">
        <v>96</v>
      </c>
      <c r="P9" s="32">
        <v>102</v>
      </c>
      <c r="Q9" s="7">
        <f t="shared" si="0"/>
        <v>72</v>
      </c>
      <c r="R9" s="27">
        <v>8</v>
      </c>
      <c r="S9" s="33">
        <f t="shared" si="1"/>
        <v>200</v>
      </c>
      <c r="T9" s="33">
        <v>50</v>
      </c>
      <c r="U9" s="3" t="s">
        <v>332</v>
      </c>
      <c r="V9" s="3">
        <v>80</v>
      </c>
      <c r="W9" s="32">
        <f>H9*(Опросник!$D$14/1000)+Прайс!J9+Прайс!K9*3+Прайс!M9*3+O9*Расчет!$F$14</f>
        <v>87369647</v>
      </c>
      <c r="X9" s="32">
        <f>J9*6+K9*1+L9*2+N9*2+O9*2+I9*(Прайс!$H$4/2+Расчет!$C$2*2)</f>
        <v>24983.5</v>
      </c>
      <c r="Y9" s="32">
        <v>370</v>
      </c>
      <c r="Z9" s="32">
        <v>439.01</v>
      </c>
      <c r="AA9" s="32"/>
      <c r="AC9"/>
    </row>
    <row r="10" spans="1:29">
      <c r="A10" s="3">
        <v>100</v>
      </c>
      <c r="B10" s="32">
        <f>$H$4*H10+$I$4*I10+$J$4*J10+$K$4*K10+$N$4*N10+$L$4*HLOOKUP(Опросник!$C$13,$L$3:$M$19,U10)+Q10*HLOOKUP(Опросник!$B$20,$S$3:$T$19,U10)</f>
        <v>42603</v>
      </c>
      <c r="C10" s="32">
        <f>(O10*$O$4+P10*$P$4)*Опросник!B$3</f>
        <v>455018500</v>
      </c>
      <c r="D10" s="32">
        <f>A10/2*Опросник!$F$21*100/$D$4</f>
        <v>10000</v>
      </c>
      <c r="E10" s="32">
        <f t="shared" si="2"/>
        <v>52603</v>
      </c>
      <c r="F10" s="32">
        <f>IF(Опросник!$D$21=100,((Опросник!$F$13*(H10+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0" s="3">
        <v>100</v>
      </c>
      <c r="H10" s="7">
        <v>2365</v>
      </c>
      <c r="I10" s="7">
        <v>1375</v>
      </c>
      <c r="J10" s="7">
        <v>1410</v>
      </c>
      <c r="K10" s="7">
        <v>460</v>
      </c>
      <c r="L10" s="7">
        <v>2785</v>
      </c>
      <c r="M10" s="7">
        <v>730</v>
      </c>
      <c r="N10" s="8">
        <v>100</v>
      </c>
      <c r="O10" s="32">
        <v>116</v>
      </c>
      <c r="P10" s="32">
        <v>134</v>
      </c>
      <c r="Q10" s="7">
        <f t="shared" si="0"/>
        <v>72</v>
      </c>
      <c r="R10" s="27">
        <v>8</v>
      </c>
      <c r="S10" s="33">
        <f t="shared" si="1"/>
        <v>200</v>
      </c>
      <c r="T10" s="33">
        <v>50</v>
      </c>
      <c r="U10" s="3" t="s">
        <v>333</v>
      </c>
      <c r="V10" s="3">
        <v>100</v>
      </c>
      <c r="W10" s="32">
        <f>H10*(Опросник!$D$14/1000)+Прайс!J10+Прайс!K10*3+Прайс!M10*3+O10*Расчет!$F$14</f>
        <v>105571637</v>
      </c>
      <c r="X10" s="32">
        <f>J10*6+K10*1+L10*2+N10*2+O10*2+I10*(Прайс!$H$4/2+Расчет!$C$2*2)</f>
        <v>29084.5</v>
      </c>
      <c r="Y10" s="32">
        <v>630</v>
      </c>
      <c r="Z10" s="32">
        <v>667.76</v>
      </c>
      <c r="AA10" s="32"/>
      <c r="AC10"/>
    </row>
    <row r="11" spans="1:29">
      <c r="A11" s="3">
        <v>125</v>
      </c>
      <c r="B11" s="32">
        <f>$H$4*H11+$I$4*I11+$J$4*J11+$K$4*K11+$N$4*N11+$L$4*HLOOKUP(Опросник!$C$13,$L$3:$M$19,U11)+Q11*HLOOKUP(Опросник!$B$20,$S$3:$T$19,U11)</f>
        <v>60306</v>
      </c>
      <c r="C11" s="32">
        <f>(O11*$O$4+P11*$P$4)*Опросник!B$3</f>
        <v>630291626.20000005</v>
      </c>
      <c r="D11" s="32">
        <f>A11/2*Опросник!$F$21*100/$D$4</f>
        <v>12500</v>
      </c>
      <c r="E11" s="32">
        <f t="shared" si="2"/>
        <v>72806</v>
      </c>
      <c r="F11" s="32">
        <f>IF(Опросник!$D$21=125,((Опросник!$F$13*(H11+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1" s="3">
        <v>125</v>
      </c>
      <c r="H11" s="7">
        <v>3630</v>
      </c>
      <c r="I11" s="7">
        <v>2640</v>
      </c>
      <c r="J11" s="7">
        <v>2420</v>
      </c>
      <c r="K11" s="7">
        <v>460</v>
      </c>
      <c r="L11" s="7">
        <v>3355</v>
      </c>
      <c r="M11" s="7">
        <v>850</v>
      </c>
      <c r="N11" s="8">
        <v>125</v>
      </c>
      <c r="O11" s="32">
        <v>160.30000000000001</v>
      </c>
      <c r="P11" s="32">
        <v>186</v>
      </c>
      <c r="Q11" s="7">
        <f t="shared" si="0"/>
        <v>72</v>
      </c>
      <c r="R11" s="27">
        <v>8</v>
      </c>
      <c r="S11" s="33">
        <f t="shared" si="1"/>
        <v>200</v>
      </c>
      <c r="T11" s="33">
        <v>50</v>
      </c>
      <c r="U11" s="3" t="s">
        <v>334</v>
      </c>
      <c r="V11" s="3">
        <v>150</v>
      </c>
      <c r="W11" s="32">
        <f>H11*(Опросник!$D$14/1000)+Прайс!J11+Прайс!K11*3+Прайс!M11*3+O11*Расчет!$F$14</f>
        <v>145888911.10000002</v>
      </c>
      <c r="X11" s="32">
        <f>J11*6+K11*1+L11*2+N11*2+O11*2+I11*(Прайс!$H$4/2+Расчет!$C$2*2)</f>
        <v>49452.600000000006</v>
      </c>
      <c r="Y11" s="32">
        <v>1009</v>
      </c>
      <c r="Z11" s="32">
        <v>895.55</v>
      </c>
      <c r="AA11" s="32"/>
      <c r="AC11"/>
    </row>
    <row r="12" spans="1:29">
      <c r="A12" s="3">
        <v>150</v>
      </c>
      <c r="B12" s="32">
        <f>$H$4*H12+$I$4*I12+$J$4*J12+$K$4*K12+$N$4*N12+$L$4*HLOOKUP(Опросник!$C$13,$L$3:$M$19,U12)+Q12*HLOOKUP(Опросник!$B$20,$S$3:$T$19,U12)</f>
        <v>103913.2</v>
      </c>
      <c r="C12" s="32">
        <f>(O12*$O$4+P12*$P$4)*Опросник!B$3</f>
        <v>823892897.58000004</v>
      </c>
      <c r="D12" s="32">
        <f>A12/2*Опросник!$F$21*100/$D$4</f>
        <v>15000</v>
      </c>
      <c r="E12" s="32">
        <f t="shared" si="2"/>
        <v>118913.2</v>
      </c>
      <c r="F12" s="32">
        <f>IF(Опросник!$D$21=150,((Опросник!$F$13*(H12+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2" s="3">
        <v>150</v>
      </c>
      <c r="H12" s="7">
        <v>6820</v>
      </c>
      <c r="I12" s="7">
        <v>3850</v>
      </c>
      <c r="J12" s="7">
        <v>3630</v>
      </c>
      <c r="K12" s="7">
        <v>670</v>
      </c>
      <c r="L12" s="7">
        <v>4235</v>
      </c>
      <c r="M12" s="7">
        <v>1050</v>
      </c>
      <c r="N12" s="8">
        <v>150</v>
      </c>
      <c r="O12" s="32">
        <v>175</v>
      </c>
      <c r="P12" s="32">
        <v>277.67</v>
      </c>
      <c r="Q12" s="7">
        <f t="shared" si="0"/>
        <v>72</v>
      </c>
      <c r="R12" s="27">
        <v>8</v>
      </c>
      <c r="S12" s="33">
        <f t="shared" si="1"/>
        <v>414.4</v>
      </c>
      <c r="T12" s="33">
        <v>103.6</v>
      </c>
      <c r="U12" s="3" t="s">
        <v>335</v>
      </c>
      <c r="V12" s="3">
        <v>200</v>
      </c>
      <c r="W12" s="32">
        <f>H12*(Опросник!$D$14/1000)+Прайс!J12+Прайс!K12*3+Прайс!M12*3+O12*Расчет!$F$14</f>
        <v>159272085</v>
      </c>
      <c r="X12" s="32">
        <f>J12*6+K12*1+L12*2+N12*2+O12*2+I12*(Прайс!$H$4/2+Расчет!$C$2*2)</f>
        <v>71225</v>
      </c>
      <c r="Y12" s="32">
        <v>1954</v>
      </c>
      <c r="Z12" s="32">
        <v>1443.45</v>
      </c>
      <c r="AA12" s="32"/>
      <c r="AC12"/>
    </row>
    <row r="13" spans="1:29">
      <c r="A13" s="3">
        <v>200</v>
      </c>
      <c r="B13" s="32">
        <f>$H$4*H13+$I$4*I13+$J$4*J13+$K$4*K13+$N$4*N13+$L$4*HLOOKUP(Опросник!$C$13,$L$3:$M$19,U13)+Q13*HLOOKUP(Опросник!$B$20,$S$3:$T$19,U13)</f>
        <v>130677.2</v>
      </c>
      <c r="C13" s="32">
        <f>(O13*$O$4+P13*$P$4)*Опросник!B$3</f>
        <v>1295892688</v>
      </c>
      <c r="D13" s="32">
        <f>A13/2*Опросник!$F$21*100/$D$4</f>
        <v>20000</v>
      </c>
      <c r="E13" s="32">
        <f t="shared" si="2"/>
        <v>150677.20000000001</v>
      </c>
      <c r="F13" s="32">
        <f>IF(Опросник!$D$21=200,((Опросник!$F$13*(H13+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3" s="3">
        <v>200</v>
      </c>
      <c r="H13" s="7">
        <v>7645</v>
      </c>
      <c r="I13" s="7">
        <v>6402</v>
      </c>
      <c r="J13" s="7">
        <v>6435</v>
      </c>
      <c r="K13" s="7">
        <v>1430</v>
      </c>
      <c r="L13" s="7">
        <v>6200</v>
      </c>
      <c r="M13" s="7">
        <v>1520</v>
      </c>
      <c r="N13" s="8">
        <v>200</v>
      </c>
      <c r="O13" s="32">
        <v>267</v>
      </c>
      <c r="P13" s="32">
        <v>445</v>
      </c>
      <c r="Q13" s="7">
        <f t="shared" si="0"/>
        <v>72</v>
      </c>
      <c r="R13" s="27">
        <v>8</v>
      </c>
      <c r="S13" s="33">
        <f t="shared" si="1"/>
        <v>414.4</v>
      </c>
      <c r="T13" s="33">
        <v>103.6</v>
      </c>
      <c r="U13" s="3" t="s">
        <v>336</v>
      </c>
      <c r="V13" s="3">
        <v>250</v>
      </c>
      <c r="Y13" s="32">
        <v>2268</v>
      </c>
      <c r="Z13" s="32">
        <v>2851.14</v>
      </c>
      <c r="AA13" s="32"/>
      <c r="AC13"/>
    </row>
    <row r="14" spans="1:29">
      <c r="A14" s="3">
        <v>250</v>
      </c>
      <c r="B14" s="32">
        <f>$H$4*H14+$I$4*I14+$J$4*J14+$K$4*K14+$N$4*N14+$L$4*HLOOKUP(Опросник!$C$13,$L$3:$M$19,U14)+Q14*HLOOKUP(Опросник!$B$20,$S$3:$T$19,U14)</f>
        <v>159666.79999999999</v>
      </c>
      <c r="C14" s="32">
        <f>(O14*$O$4+P14*$P$4)*Опросник!B$3</f>
        <v>2495740071.02</v>
      </c>
      <c r="D14" s="32">
        <f>A14/2*Опросник!$F$21*100/$D$4</f>
        <v>25000</v>
      </c>
      <c r="E14" s="32">
        <f t="shared" si="2"/>
        <v>184666.8</v>
      </c>
      <c r="F14" s="32">
        <f>IF(Опросник!$D$21=250,((Опросник!$F$13*(H14+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4" s="3">
        <v>250</v>
      </c>
      <c r="H14" s="7">
        <v>8690</v>
      </c>
      <c r="I14" s="7">
        <v>10610</v>
      </c>
      <c r="J14" s="7">
        <v>8100</v>
      </c>
      <c r="K14" s="7">
        <v>1430</v>
      </c>
      <c r="L14" s="7">
        <v>8750</v>
      </c>
      <c r="M14" s="7">
        <v>2010</v>
      </c>
      <c r="N14" s="8">
        <v>250</v>
      </c>
      <c r="O14" s="32">
        <v>440</v>
      </c>
      <c r="P14" s="32">
        <v>931.23</v>
      </c>
      <c r="Q14" s="7">
        <f t="shared" si="0"/>
        <v>108</v>
      </c>
      <c r="R14" s="27">
        <v>12</v>
      </c>
      <c r="S14" s="33">
        <f t="shared" si="1"/>
        <v>414.4</v>
      </c>
      <c r="T14" s="33">
        <v>103.6</v>
      </c>
      <c r="U14" s="3" t="s">
        <v>337</v>
      </c>
      <c r="V14" s="3">
        <v>300</v>
      </c>
      <c r="Y14" s="32">
        <v>3486</v>
      </c>
      <c r="Z14" s="32">
        <v>3375.46</v>
      </c>
      <c r="AA14" s="32"/>
      <c r="AC14"/>
    </row>
    <row r="15" spans="1:29">
      <c r="A15" s="3">
        <v>300</v>
      </c>
      <c r="B15" s="32">
        <f>$H$4*H15+$I$4*I15+$J$4*J15+$K$4*K15+$N$4*N15+$L$4*HLOOKUP(Опросник!$C$13,$L$3:$M$19,U15)+Q15*HLOOKUP(Опросник!$B$20,$S$3:$T$19,U15)</f>
        <v>223036.79999999999</v>
      </c>
      <c r="C15" s="32">
        <f>(O15*$O$4+P15*$P$4)*Опросник!B$3</f>
        <v>3822264604.4400001</v>
      </c>
      <c r="D15" s="32">
        <f>A15/2*Опросник!$F$21*100/$D$4</f>
        <v>30000</v>
      </c>
      <c r="E15" s="32">
        <f t="shared" si="2"/>
        <v>253036.79999999999</v>
      </c>
      <c r="F15" s="32">
        <f>IF(Опросник!$D$21=300,((Опросник!$F$13*(H15+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5" s="3">
        <v>300</v>
      </c>
      <c r="H15" s="7">
        <v>11440</v>
      </c>
      <c r="I15" s="7">
        <v>22220</v>
      </c>
      <c r="J15" s="7">
        <v>17600</v>
      </c>
      <c r="K15" s="7">
        <v>1430</v>
      </c>
      <c r="L15" s="7">
        <v>9560</v>
      </c>
      <c r="M15" s="7">
        <v>2260</v>
      </c>
      <c r="N15" s="8">
        <v>300</v>
      </c>
      <c r="O15" s="32">
        <v>607.5</v>
      </c>
      <c r="P15" s="32">
        <v>1492.56</v>
      </c>
      <c r="Q15" s="7">
        <f t="shared" si="0"/>
        <v>108</v>
      </c>
      <c r="R15" s="27">
        <v>12</v>
      </c>
      <c r="S15" s="33">
        <f t="shared" si="1"/>
        <v>414.4</v>
      </c>
      <c r="T15" s="33">
        <v>103.6</v>
      </c>
      <c r="U15" s="3" t="s">
        <v>338</v>
      </c>
      <c r="AC15"/>
    </row>
    <row r="16" spans="1:29">
      <c r="A16" s="3">
        <v>350</v>
      </c>
      <c r="B16" s="32">
        <f>$H$4*H16+$I$4*I16+$J$4*J16+$K$4*K16+$N$4*N16+$L$4*HLOOKUP(Опросник!$C$13,$L$3:$M$19,U16)+Q16*HLOOKUP(Опросник!$B$20,$S$3:$T$19,U16)</f>
        <v>308398.40000000002</v>
      </c>
      <c r="C16" s="32">
        <f>(O16*$O$4+P16*$P$4)*Опросник!B$3</f>
        <v>5973082451.7199993</v>
      </c>
      <c r="D16" s="32">
        <f>A16/2*Опросник!$F$21*100/$D$4</f>
        <v>35000</v>
      </c>
      <c r="E16" s="32">
        <f t="shared" si="2"/>
        <v>343398.40000000002</v>
      </c>
      <c r="F16" s="32">
        <f>IF(Опросник!$D$21=350,((Опросник!$F$13*(H16+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6" s="3">
        <v>350</v>
      </c>
      <c r="H16" s="7">
        <v>13750</v>
      </c>
      <c r="I16" s="7">
        <v>30790</v>
      </c>
      <c r="J16" s="7">
        <v>26250</v>
      </c>
      <c r="K16" s="7">
        <v>2200</v>
      </c>
      <c r="L16" s="7">
        <v>15200</v>
      </c>
      <c r="M16" s="7">
        <v>5450</v>
      </c>
      <c r="N16" s="8">
        <v>350</v>
      </c>
      <c r="O16" s="32">
        <v>1134.32</v>
      </c>
      <c r="P16" s="32">
        <v>2147.46</v>
      </c>
      <c r="Q16" s="7">
        <f t="shared" si="0"/>
        <v>144</v>
      </c>
      <c r="R16" s="27">
        <v>16</v>
      </c>
      <c r="S16" s="33">
        <f t="shared" si="1"/>
        <v>414.4</v>
      </c>
      <c r="T16" s="33">
        <v>103.6</v>
      </c>
      <c r="U16" s="3" t="s">
        <v>339</v>
      </c>
      <c r="AC16"/>
    </row>
    <row r="17" spans="1:29">
      <c r="A17" s="3">
        <v>400</v>
      </c>
      <c r="B17" s="32">
        <f>$H$4*H17+$I$4*I17+$J$4*J17+$K$4*K17+$N$4*N17+$L$4*HLOOKUP(Опросник!$C$13,$L$3:$M$19,U17)+Q17*HLOOKUP(Опросник!$B$20,$S$3:$T$19,U17)</f>
        <v>381698</v>
      </c>
      <c r="C17" s="32">
        <f>(O17*$O$4+P17*$P$4)*Опросник!B$3</f>
        <v>8153931520</v>
      </c>
      <c r="D17" s="32">
        <f>A17/2*Опросник!$F$21*100/$D$4</f>
        <v>40000</v>
      </c>
      <c r="E17" s="32">
        <f t="shared" si="2"/>
        <v>421698</v>
      </c>
      <c r="F17" s="32">
        <f>IF(Опросник!$D$21=400,((Опросник!$F$13*(H17+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7" s="3">
        <v>400</v>
      </c>
      <c r="H17" s="7">
        <v>15730</v>
      </c>
      <c r="I17" s="7">
        <v>36750</v>
      </c>
      <c r="J17" s="7">
        <v>39400</v>
      </c>
      <c r="K17" s="7">
        <v>4400</v>
      </c>
      <c r="L17" s="7">
        <v>21000</v>
      </c>
      <c r="M17" s="7">
        <v>6420</v>
      </c>
      <c r="N17" s="8">
        <v>400</v>
      </c>
      <c r="O17" s="32">
        <v>1760</v>
      </c>
      <c r="P17" s="32">
        <v>2720</v>
      </c>
      <c r="Q17" s="7">
        <f t="shared" si="0"/>
        <v>144</v>
      </c>
      <c r="R17" s="27">
        <v>16</v>
      </c>
      <c r="S17" s="33">
        <f t="shared" si="1"/>
        <v>472</v>
      </c>
      <c r="T17" s="34">
        <v>118</v>
      </c>
      <c r="U17" s="3" t="s">
        <v>340</v>
      </c>
      <c r="AC17"/>
    </row>
    <row r="18" spans="1:29" ht="15.75">
      <c r="A18" s="3">
        <v>500</v>
      </c>
      <c r="B18" s="32">
        <f>$H$4*H18+$I$4*I18+$J$4*J18+$K$4*K18+$N$4*N18+$L$4*HLOOKUP(Опросник!$C$13,$L$3:$M$19,U18)+Q18*HLOOKUP(Опросник!$B$20,$S$3:$T$19,U18)</f>
        <v>585078</v>
      </c>
      <c r="C18" s="32">
        <f>(O18*$O$4+P18*$P$4)*Опросник!B$3</f>
        <v>19037974040</v>
      </c>
      <c r="D18" s="32">
        <f>A18/2*Опросник!$F$21*100/$D$4</f>
        <v>50000</v>
      </c>
      <c r="E18" s="32">
        <f>B18+D18</f>
        <v>635078</v>
      </c>
      <c r="F18" s="32">
        <f>IF(Опросник!$D$21=500,((Опросник!$F$13*(H18+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8" s="3">
        <v>500</v>
      </c>
      <c r="H18" s="7">
        <v>21440</v>
      </c>
      <c r="I18" s="31">
        <v>51000</v>
      </c>
      <c r="J18" s="31">
        <v>52750</v>
      </c>
      <c r="K18" s="7">
        <v>11550</v>
      </c>
      <c r="L18" s="7">
        <v>28435</v>
      </c>
      <c r="M18" s="7">
        <v>11500</v>
      </c>
      <c r="N18" s="8">
        <v>500</v>
      </c>
      <c r="O18" s="32">
        <v>3210</v>
      </c>
      <c r="P18" s="32">
        <v>7250</v>
      </c>
      <c r="Q18" s="7">
        <f t="shared" si="0"/>
        <v>180</v>
      </c>
      <c r="R18" s="27">
        <v>20</v>
      </c>
      <c r="S18" s="33">
        <f t="shared" si="1"/>
        <v>472</v>
      </c>
      <c r="T18" s="34">
        <v>118</v>
      </c>
      <c r="U18" s="3" t="s">
        <v>341</v>
      </c>
      <c r="X18" s="256" t="s">
        <v>565</v>
      </c>
      <c r="AC18"/>
    </row>
    <row r="19" spans="1:29">
      <c r="A19" s="3">
        <v>600</v>
      </c>
      <c r="B19" s="32">
        <f>$H$4*H19+$I$4*I19+$J$4*J19+$K$4*K19+$N$4*N19+$L$4*HLOOKUP(Опросник!$C$13,$L$3:$M$19,U19)+Q19*HLOOKUP(Опросник!$B$20,$S$3:$T$19,U19)</f>
        <v>726854</v>
      </c>
      <c r="C19" s="32">
        <f>(O19*$O$4+P19*$P$4)*Опросник!B$3</f>
        <v>37928995305.240005</v>
      </c>
      <c r="D19" s="32">
        <f>A19/2*Опросник!$F$21*100/$D$4</f>
        <v>60000</v>
      </c>
      <c r="E19" s="32">
        <f>B19+D19</f>
        <v>786854</v>
      </c>
      <c r="F19" s="32">
        <f>IF(Опросник!$D$21=600,((Опросник!$F$13*(H19+VLOOKUP(Опросник!$D$13,$G$5:$K$19,5)+IF(Опросник!$C$13="силумин",VLOOKUP(Опросник!$D$13,$G$5:$M$19,7),VLOOKUP(Опросник!$D$13,$G$5:$M$19,6))+(VLOOKUP(Опросник!$D$21,$G$5:$H$19,2)/2))+VLOOKUP(Опросник!$D$9,$D$42:$K$59,8)*Опросник!$F$9))+IF(Опросник!G9="Фланец DN",VLOOKUP(Опросник!D9,G4:H19,2)+VLOOKUP(Опросник!D9,G4:K19,5)+IF(Опросник!$C$13="силумин",VLOOKUP(Опросник!$D$9,$G$5:$M$19,7),VLOOKUP(Опросник!$D$9,$G$5:$M$19,6))-VLOOKUP(Опросник!$D$9,$D$42:$K$59,8))*Опросник!$F$9,0)</f>
        <v>0</v>
      </c>
      <c r="G19" s="3">
        <v>600</v>
      </c>
      <c r="H19" s="7">
        <v>30500</v>
      </c>
      <c r="I19" s="31">
        <v>63000</v>
      </c>
      <c r="J19" s="31">
        <v>52700</v>
      </c>
      <c r="K19" s="7">
        <v>13390</v>
      </c>
      <c r="L19" s="7">
        <v>36750</v>
      </c>
      <c r="M19" s="7">
        <v>12500</v>
      </c>
      <c r="N19" s="8">
        <v>600</v>
      </c>
      <c r="O19" s="32">
        <v>4970.32</v>
      </c>
      <c r="P19" s="32">
        <v>15868.94</v>
      </c>
      <c r="Q19" s="7">
        <f t="shared" si="0"/>
        <v>180</v>
      </c>
      <c r="R19" s="27">
        <v>20</v>
      </c>
      <c r="S19" s="33">
        <f t="shared" si="1"/>
        <v>505.2</v>
      </c>
      <c r="T19" s="33">
        <v>126.3</v>
      </c>
      <c r="U19" s="3" t="s">
        <v>342</v>
      </c>
      <c r="AC19"/>
    </row>
    <row r="20" spans="1:29" ht="15.75">
      <c r="A20" t="s">
        <v>319</v>
      </c>
      <c r="D20" t="s">
        <v>200</v>
      </c>
      <c r="X20" s="256" t="s">
        <v>569</v>
      </c>
      <c r="AC20"/>
    </row>
    <row r="21" spans="1:29" ht="30.75" thickBot="1">
      <c r="A21" s="42" t="s">
        <v>3</v>
      </c>
      <c r="D21" s="3" t="s">
        <v>55</v>
      </c>
      <c r="E21" s="3" t="s">
        <v>201</v>
      </c>
      <c r="F21" s="3" t="s">
        <v>280</v>
      </c>
      <c r="H21" s="5" t="s">
        <v>73</v>
      </c>
      <c r="I21" s="5"/>
      <c r="J21" s="6"/>
      <c r="V21" t="s">
        <v>552</v>
      </c>
      <c r="AB21" s="257" t="s">
        <v>566</v>
      </c>
      <c r="AC21"/>
    </row>
    <row r="22" spans="1:29" ht="30.75" thickTop="1">
      <c r="A22" s="43">
        <v>40</v>
      </c>
      <c r="B22" s="46">
        <v>25</v>
      </c>
      <c r="D22" s="3">
        <v>0</v>
      </c>
      <c r="E22" s="3">
        <v>0</v>
      </c>
      <c r="F22" s="3">
        <v>0</v>
      </c>
      <c r="G22">
        <v>0</v>
      </c>
      <c r="H22">
        <v>100000</v>
      </c>
      <c r="I22" s="5"/>
      <c r="J22" s="6"/>
      <c r="V22" s="239" t="s">
        <v>553</v>
      </c>
      <c r="W22" s="239"/>
      <c r="X22" s="239">
        <v>1600</v>
      </c>
      <c r="AB22" s="257" t="s">
        <v>567</v>
      </c>
      <c r="AC22"/>
    </row>
    <row r="23" spans="1:29">
      <c r="A23" s="44">
        <v>50</v>
      </c>
      <c r="B23" s="46">
        <v>25</v>
      </c>
      <c r="D23" s="3">
        <v>2</v>
      </c>
      <c r="E23" s="3">
        <v>3</v>
      </c>
      <c r="F23" s="3">
        <v>50</v>
      </c>
      <c r="G23">
        <v>4</v>
      </c>
      <c r="H23">
        <v>120000</v>
      </c>
      <c r="V23" s="239" t="s">
        <v>554</v>
      </c>
      <c r="W23" s="239"/>
      <c r="X23" s="239">
        <v>500</v>
      </c>
      <c r="AB23" s="257"/>
      <c r="AC23"/>
    </row>
    <row r="24" spans="1:29">
      <c r="A24" s="43">
        <v>65</v>
      </c>
      <c r="B24" s="46">
        <v>40</v>
      </c>
      <c r="D24" s="3">
        <v>5</v>
      </c>
      <c r="E24" s="3">
        <v>3</v>
      </c>
      <c r="F24" s="3">
        <v>50</v>
      </c>
      <c r="G24">
        <v>6</v>
      </c>
      <c r="H24">
        <v>140000</v>
      </c>
      <c r="V24" s="239" t="s">
        <v>555</v>
      </c>
      <c r="W24" s="239"/>
      <c r="X24" s="239">
        <v>1000</v>
      </c>
      <c r="AC24"/>
    </row>
    <row r="25" spans="1:29">
      <c r="A25" s="44">
        <v>80</v>
      </c>
      <c r="B25" s="46">
        <v>50</v>
      </c>
      <c r="D25" s="3">
        <v>10</v>
      </c>
      <c r="E25" s="3">
        <v>4</v>
      </c>
      <c r="F25" s="3">
        <v>80</v>
      </c>
      <c r="G25">
        <v>8</v>
      </c>
      <c r="H25">
        <v>170000</v>
      </c>
      <c r="V25" s="239" t="s">
        <v>551</v>
      </c>
      <c r="W25" s="239"/>
      <c r="X25" s="239">
        <v>700</v>
      </c>
      <c r="AC25"/>
    </row>
    <row r="26" spans="1:29">
      <c r="A26" s="43">
        <v>100</v>
      </c>
      <c r="B26" s="46">
        <v>50</v>
      </c>
      <c r="C26" s="33" t="s">
        <v>41</v>
      </c>
      <c r="D26" s="3">
        <v>100</v>
      </c>
      <c r="E26" s="3">
        <v>5</v>
      </c>
      <c r="F26" s="3">
        <v>100</v>
      </c>
      <c r="G26">
        <v>11</v>
      </c>
      <c r="H26">
        <v>200000</v>
      </c>
      <c r="AC26"/>
    </row>
    <row r="27" spans="1:29">
      <c r="A27" s="44">
        <v>125</v>
      </c>
      <c r="B27" s="46">
        <v>80</v>
      </c>
      <c r="C27" s="33" t="s">
        <v>415</v>
      </c>
      <c r="D27" s="3">
        <v>160</v>
      </c>
      <c r="E27" s="3">
        <v>6</v>
      </c>
      <c r="F27" s="3">
        <v>150</v>
      </c>
      <c r="G27">
        <v>15</v>
      </c>
      <c r="H27">
        <v>230000</v>
      </c>
      <c r="AC27"/>
    </row>
    <row r="28" spans="1:29">
      <c r="A28" s="43">
        <v>150</v>
      </c>
      <c r="B28" s="46">
        <v>80</v>
      </c>
      <c r="C28" s="33" t="s">
        <v>416</v>
      </c>
      <c r="D28" s="3">
        <v>224</v>
      </c>
      <c r="E28" s="3">
        <v>8</v>
      </c>
      <c r="F28" s="3">
        <v>300</v>
      </c>
      <c r="G28">
        <v>19</v>
      </c>
      <c r="H28">
        <v>270000</v>
      </c>
      <c r="AC28"/>
    </row>
    <row r="29" spans="1:29">
      <c r="A29" s="44">
        <v>200</v>
      </c>
      <c r="B29" s="46">
        <v>80</v>
      </c>
      <c r="C29" s="33" t="s">
        <v>417</v>
      </c>
      <c r="D29" s="3">
        <v>400</v>
      </c>
      <c r="E29" s="3">
        <v>10</v>
      </c>
      <c r="F29" s="3">
        <v>400</v>
      </c>
      <c r="G29">
        <v>22</v>
      </c>
      <c r="H29">
        <v>320000</v>
      </c>
      <c r="AC29"/>
    </row>
    <row r="30" spans="1:29">
      <c r="A30" s="43">
        <v>250</v>
      </c>
      <c r="B30" s="46">
        <v>80</v>
      </c>
      <c r="C30" s="33" t="s">
        <v>418</v>
      </c>
      <c r="D30" s="3">
        <v>630</v>
      </c>
      <c r="E30" s="3">
        <v>12</v>
      </c>
      <c r="F30" s="3">
        <v>600</v>
      </c>
      <c r="G30">
        <v>30</v>
      </c>
      <c r="H30">
        <v>380000</v>
      </c>
      <c r="AC30"/>
    </row>
    <row r="31" spans="1:29">
      <c r="A31" s="44">
        <v>300</v>
      </c>
      <c r="B31" s="46">
        <v>80</v>
      </c>
      <c r="C31" s="33" t="s">
        <v>474</v>
      </c>
      <c r="D31" s="3">
        <v>940</v>
      </c>
      <c r="E31" s="3">
        <v>16</v>
      </c>
      <c r="F31" s="3">
        <v>1000</v>
      </c>
      <c r="G31">
        <v>37</v>
      </c>
      <c r="H31">
        <v>450000</v>
      </c>
      <c r="AC31"/>
    </row>
    <row r="32" spans="1:29">
      <c r="D32" s="3">
        <v>1600</v>
      </c>
      <c r="E32" s="3">
        <v>18</v>
      </c>
      <c r="F32" s="3">
        <v>1500</v>
      </c>
      <c r="G32">
        <v>45</v>
      </c>
      <c r="H32">
        <v>550000</v>
      </c>
      <c r="AC32"/>
    </row>
    <row r="33" spans="2:29">
      <c r="D33" s="3">
        <v>2120</v>
      </c>
      <c r="E33" s="3" t="s">
        <v>264</v>
      </c>
      <c r="F33" s="3" t="s">
        <v>264</v>
      </c>
      <c r="G33">
        <v>55</v>
      </c>
      <c r="H33">
        <v>700000</v>
      </c>
      <c r="AC33"/>
    </row>
    <row r="34" spans="2:29">
      <c r="B34" t="s">
        <v>427</v>
      </c>
      <c r="C34" s="33">
        <v>1.2</v>
      </c>
      <c r="D34" s="3"/>
      <c r="G34">
        <v>75</v>
      </c>
      <c r="H34">
        <v>850000</v>
      </c>
      <c r="AC34"/>
    </row>
    <row r="35" spans="2:29">
      <c r="B35" t="s">
        <v>426</v>
      </c>
      <c r="C35" s="33">
        <v>1.02</v>
      </c>
      <c r="D35" s="3"/>
      <c r="F35" s="7"/>
      <c r="G35">
        <v>90</v>
      </c>
      <c r="H35">
        <v>1100000</v>
      </c>
      <c r="AC35"/>
    </row>
    <row r="36" spans="2:29">
      <c r="B36" t="s">
        <v>497</v>
      </c>
      <c r="C36" s="33">
        <v>1.1000000000000001</v>
      </c>
      <c r="D36" t="s">
        <v>503</v>
      </c>
      <c r="E36">
        <v>500</v>
      </c>
      <c r="F36" s="7"/>
      <c r="G36">
        <v>110</v>
      </c>
      <c r="H36">
        <v>1500000</v>
      </c>
      <c r="AC36"/>
    </row>
    <row r="37" spans="2:29">
      <c r="B37" t="s">
        <v>428</v>
      </c>
      <c r="C37" s="33">
        <v>1.3</v>
      </c>
      <c r="D37" t="s">
        <v>498</v>
      </c>
      <c r="E37">
        <v>1600</v>
      </c>
      <c r="F37" s="7"/>
      <c r="G37">
        <v>132</v>
      </c>
      <c r="H37">
        <v>1700000</v>
      </c>
      <c r="AC37"/>
    </row>
    <row r="38" spans="2:29">
      <c r="F38" s="7"/>
      <c r="G38">
        <v>160</v>
      </c>
      <c r="H38">
        <v>1900000</v>
      </c>
    </row>
    <row r="39" spans="2:29">
      <c r="G39">
        <v>200</v>
      </c>
    </row>
    <row r="40" spans="2:29">
      <c r="B40" t="s">
        <v>258</v>
      </c>
      <c r="D40" s="5" t="s">
        <v>196</v>
      </c>
      <c r="F40" s="56" t="s">
        <v>301</v>
      </c>
      <c r="G40" s="56" t="s">
        <v>440</v>
      </c>
      <c r="H40" s="56" t="s">
        <v>514</v>
      </c>
      <c r="I40" s="56" t="s">
        <v>444</v>
      </c>
      <c r="J40" s="56" t="s">
        <v>516</v>
      </c>
      <c r="K40" s="56" t="s">
        <v>517</v>
      </c>
    </row>
    <row r="41" spans="2:29">
      <c r="B41">
        <v>0</v>
      </c>
      <c r="D41" s="3" t="s">
        <v>3</v>
      </c>
      <c r="E41" s="3" t="s">
        <v>58</v>
      </c>
    </row>
    <row r="42" spans="2:29">
      <c r="B42">
        <v>1200</v>
      </c>
      <c r="D42" s="3">
        <v>0</v>
      </c>
      <c r="E42" s="3">
        <v>0</v>
      </c>
    </row>
    <row r="43" spans="2:29">
      <c r="B43">
        <v>1500</v>
      </c>
      <c r="D43" s="3" t="s">
        <v>259</v>
      </c>
    </row>
    <row r="44" spans="2:29">
      <c r="B44">
        <v>2400</v>
      </c>
      <c r="D44" s="3">
        <v>50</v>
      </c>
      <c r="E44" s="37">
        <v>189.91</v>
      </c>
      <c r="F44" s="3">
        <v>50</v>
      </c>
      <c r="I44">
        <v>50</v>
      </c>
    </row>
    <row r="45" spans="2:29">
      <c r="B45">
        <v>3000</v>
      </c>
      <c r="D45" s="3">
        <v>65</v>
      </c>
      <c r="E45" s="37">
        <v>202.51</v>
      </c>
      <c r="F45" s="3" t="s">
        <v>302</v>
      </c>
    </row>
    <row r="46" spans="2:29">
      <c r="B46">
        <v>3600</v>
      </c>
      <c r="D46" s="3">
        <v>80</v>
      </c>
      <c r="E46" s="37">
        <v>213.16</v>
      </c>
      <c r="F46" s="3" t="s">
        <v>302</v>
      </c>
    </row>
    <row r="47" spans="2:29">
      <c r="B47">
        <v>4500</v>
      </c>
      <c r="D47" s="3">
        <v>100</v>
      </c>
      <c r="E47" s="37">
        <v>235.45</v>
      </c>
      <c r="F47" s="3" t="s">
        <v>518</v>
      </c>
      <c r="G47" s="237" t="s">
        <v>523</v>
      </c>
      <c r="H47" t="s">
        <v>518</v>
      </c>
      <c r="I47" t="s">
        <v>536</v>
      </c>
      <c r="J47" s="245" t="s">
        <v>557</v>
      </c>
      <c r="K47">
        <v>150</v>
      </c>
    </row>
    <row r="48" spans="2:29">
      <c r="B48">
        <v>4800</v>
      </c>
      <c r="D48" s="3">
        <v>125</v>
      </c>
      <c r="E48" s="37">
        <v>293.58</v>
      </c>
      <c r="F48" s="3" t="s">
        <v>302</v>
      </c>
      <c r="J48" s="245" t="s">
        <v>557</v>
      </c>
    </row>
    <row r="49" spans="2:11">
      <c r="D49" s="3">
        <v>150</v>
      </c>
      <c r="E49" s="37">
        <v>319.74</v>
      </c>
      <c r="F49" s="3" t="s">
        <v>519</v>
      </c>
      <c r="G49" t="s">
        <v>524</v>
      </c>
      <c r="H49" t="s">
        <v>519</v>
      </c>
      <c r="I49" t="s">
        <v>537</v>
      </c>
      <c r="J49" s="245" t="s">
        <v>558</v>
      </c>
      <c r="K49">
        <v>2000</v>
      </c>
    </row>
    <row r="50" spans="2:11">
      <c r="B50" t="s">
        <v>81</v>
      </c>
      <c r="D50" s="3">
        <v>200</v>
      </c>
      <c r="E50" s="37">
        <v>519.34</v>
      </c>
      <c r="F50" s="3" t="s">
        <v>520</v>
      </c>
      <c r="G50" t="s">
        <v>525</v>
      </c>
      <c r="H50" t="s">
        <v>520</v>
      </c>
      <c r="I50" t="s">
        <v>538</v>
      </c>
      <c r="J50" t="s">
        <v>542</v>
      </c>
      <c r="K50">
        <v>2500</v>
      </c>
    </row>
    <row r="51" spans="2:11">
      <c r="B51" t="s">
        <v>343</v>
      </c>
      <c r="D51" s="3">
        <v>250</v>
      </c>
      <c r="E51" s="37">
        <v>656.95</v>
      </c>
      <c r="F51" s="3" t="s">
        <v>521</v>
      </c>
      <c r="G51" t="s">
        <v>526</v>
      </c>
      <c r="H51" t="s">
        <v>531</v>
      </c>
      <c r="I51">
        <v>250</v>
      </c>
      <c r="J51" t="s">
        <v>543</v>
      </c>
      <c r="K51">
        <v>3000</v>
      </c>
    </row>
    <row r="52" spans="2:11">
      <c r="D52" s="3">
        <v>300</v>
      </c>
      <c r="E52" s="37">
        <v>830.37</v>
      </c>
      <c r="F52" s="3" t="s">
        <v>522</v>
      </c>
      <c r="G52" t="s">
        <v>527</v>
      </c>
      <c r="H52" t="s">
        <v>522</v>
      </c>
      <c r="I52" t="s">
        <v>539</v>
      </c>
      <c r="J52" t="s">
        <v>544</v>
      </c>
      <c r="K52">
        <v>4000</v>
      </c>
    </row>
    <row r="53" spans="2:11">
      <c r="B53" t="s">
        <v>357</v>
      </c>
      <c r="D53" s="3">
        <v>350</v>
      </c>
      <c r="E53" s="37">
        <v>1372.07</v>
      </c>
      <c r="F53" s="245" t="s">
        <v>532</v>
      </c>
      <c r="H53" t="s">
        <v>532</v>
      </c>
      <c r="J53" t="s">
        <v>544</v>
      </c>
      <c r="K53">
        <v>5000</v>
      </c>
    </row>
    <row r="54" spans="2:11">
      <c r="B54" t="s">
        <v>431</v>
      </c>
      <c r="D54" s="3">
        <v>400</v>
      </c>
      <c r="E54" s="37">
        <v>1800.3</v>
      </c>
      <c r="F54" s="245" t="s">
        <v>533</v>
      </c>
      <c r="G54" t="s">
        <v>528</v>
      </c>
      <c r="H54" t="s">
        <v>533</v>
      </c>
      <c r="I54" t="s">
        <v>540</v>
      </c>
      <c r="J54" t="s">
        <v>545</v>
      </c>
      <c r="K54">
        <v>6000</v>
      </c>
    </row>
    <row r="55" spans="2:11">
      <c r="D55" s="3">
        <v>450</v>
      </c>
      <c r="E55" s="37">
        <v>2183.9699999999998</v>
      </c>
      <c r="F55" s="3">
        <v>550</v>
      </c>
      <c r="J55" t="s">
        <v>545</v>
      </c>
      <c r="K55">
        <v>14000</v>
      </c>
    </row>
    <row r="56" spans="2:11">
      <c r="D56" s="3">
        <v>500</v>
      </c>
      <c r="E56" s="37">
        <v>2597.6999999999998</v>
      </c>
      <c r="F56" s="245" t="s">
        <v>534</v>
      </c>
      <c r="G56" t="s">
        <v>529</v>
      </c>
      <c r="H56" t="s">
        <v>534</v>
      </c>
      <c r="I56" t="s">
        <v>541</v>
      </c>
      <c r="J56" t="s">
        <v>546</v>
      </c>
      <c r="K56">
        <v>14000</v>
      </c>
    </row>
    <row r="57" spans="2:11">
      <c r="B57" t="s">
        <v>345</v>
      </c>
      <c r="D57" s="3">
        <v>600</v>
      </c>
      <c r="E57" s="37">
        <v>4255.6000000000004</v>
      </c>
      <c r="F57" s="245" t="s">
        <v>535</v>
      </c>
      <c r="G57" t="s">
        <v>530</v>
      </c>
      <c r="H57" t="s">
        <v>535</v>
      </c>
      <c r="J57" t="s">
        <v>547</v>
      </c>
      <c r="K57">
        <v>18000</v>
      </c>
    </row>
    <row r="58" spans="2:11">
      <c r="B58" t="s">
        <v>449</v>
      </c>
      <c r="D58" s="3">
        <v>800</v>
      </c>
      <c r="E58" s="3" t="s">
        <v>264</v>
      </c>
      <c r="F58" s="3">
        <v>900</v>
      </c>
      <c r="J58" t="s">
        <v>548</v>
      </c>
      <c r="K58">
        <v>37000</v>
      </c>
    </row>
    <row r="59" spans="2:11">
      <c r="D59" s="3">
        <v>1000</v>
      </c>
      <c r="E59" s="3" t="s">
        <v>264</v>
      </c>
      <c r="F59" s="3">
        <v>1100</v>
      </c>
      <c r="J59" t="s">
        <v>549</v>
      </c>
      <c r="K59">
        <v>60000</v>
      </c>
    </row>
    <row r="60" spans="2:11">
      <c r="B60" t="s">
        <v>459</v>
      </c>
      <c r="D60" s="212"/>
    </row>
    <row r="61" spans="2:11">
      <c r="E61" s="33"/>
      <c r="G61" s="33"/>
    </row>
    <row r="62" spans="2:11">
      <c r="E62" s="33"/>
      <c r="G62" s="33"/>
    </row>
    <row r="63" spans="2:11">
      <c r="E63" s="33"/>
      <c r="G63" s="33"/>
    </row>
    <row r="64" spans="2:11">
      <c r="B64" t="s">
        <v>59</v>
      </c>
      <c r="E64" s="33"/>
      <c r="G64" s="33"/>
    </row>
    <row r="65" spans="2:7">
      <c r="B65" t="s">
        <v>15</v>
      </c>
      <c r="E65" s="33"/>
      <c r="G65" s="33"/>
    </row>
    <row r="66" spans="2:7">
      <c r="E66" s="33"/>
      <c r="G66" s="33"/>
    </row>
    <row r="67" spans="2:7">
      <c r="E67" s="33"/>
    </row>
  </sheetData>
  <mergeCells count="4">
    <mergeCell ref="Q3:R3"/>
    <mergeCell ref="Q4:R4"/>
    <mergeCell ref="L2:M2"/>
    <mergeCell ref="L4:M4"/>
  </mergeCells>
  <pageMargins left="0.7" right="0.7" top="0.75" bottom="0.75" header="0.3" footer="0.3"/>
  <pageSetup paperSize="9" orientation="portrait" r:id="rId1"/>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H45"/>
  <sheetViews>
    <sheetView topLeftCell="A2" workbookViewId="0">
      <selection activeCell="F36" sqref="F36"/>
    </sheetView>
  </sheetViews>
  <sheetFormatPr defaultRowHeight="15"/>
  <cols>
    <col min="1" max="1" width="5.28515625" style="2" customWidth="1"/>
    <col min="2" max="2" width="38.5703125" style="1" customWidth="1"/>
    <col min="3" max="3" width="5.28515625" style="1" customWidth="1"/>
    <col min="4" max="4" width="5" style="1" customWidth="1"/>
    <col min="5" max="5" width="12.5703125" style="2" customWidth="1"/>
    <col min="6" max="6" width="9.140625" style="2"/>
    <col min="7" max="7" width="7.5703125" style="2" customWidth="1"/>
    <col min="8" max="8" width="13.7109375" style="1" customWidth="1"/>
    <col min="9" max="16384" width="9.140625" style="1"/>
  </cols>
  <sheetData>
    <row r="1" spans="1:8" ht="37.5" customHeight="1">
      <c r="B1" s="9" t="s">
        <v>76</v>
      </c>
      <c r="C1" s="317">
        <f>Опросник!M18</f>
        <v>0</v>
      </c>
      <c r="D1" s="318"/>
      <c r="E1" s="1"/>
    </row>
    <row r="2" spans="1:8" ht="32.25" customHeight="1" thickBot="1"/>
    <row r="3" spans="1:8" s="2" customFormat="1" ht="15.75" thickBot="1">
      <c r="A3" s="10" t="s">
        <v>77</v>
      </c>
      <c r="B3" s="10" t="s">
        <v>78</v>
      </c>
      <c r="C3" s="10" t="s">
        <v>3</v>
      </c>
      <c r="D3" s="10"/>
      <c r="E3" s="10" t="s">
        <v>61</v>
      </c>
      <c r="F3" s="10" t="s">
        <v>62</v>
      </c>
      <c r="G3" s="10" t="s">
        <v>79</v>
      </c>
      <c r="H3" s="10" t="s">
        <v>80</v>
      </c>
    </row>
    <row r="4" spans="1:8">
      <c r="A4" s="11">
        <v>1</v>
      </c>
      <c r="B4" s="12" t="s">
        <v>65</v>
      </c>
      <c r="C4" s="12">
        <f>Опросник!D21</f>
        <v>50</v>
      </c>
      <c r="D4" s="12"/>
      <c r="E4" s="13" t="s">
        <v>81</v>
      </c>
      <c r="F4" s="13">
        <f>Прайс!H4</f>
        <v>10.199999999999999</v>
      </c>
      <c r="G4" s="14" t="s">
        <v>16</v>
      </c>
      <c r="H4" s="15"/>
    </row>
    <row r="5" spans="1:8">
      <c r="A5" s="16">
        <v>2</v>
      </c>
      <c r="B5" s="17" t="s">
        <v>82</v>
      </c>
      <c r="C5" s="12">
        <f>Опросник!D21</f>
        <v>50</v>
      </c>
      <c r="D5" s="12"/>
      <c r="E5" s="13" t="s">
        <v>81</v>
      </c>
      <c r="F5" s="18">
        <f>Прайс!I4</f>
        <v>2</v>
      </c>
      <c r="G5" s="19" t="s">
        <v>14</v>
      </c>
      <c r="H5" s="20"/>
    </row>
    <row r="6" spans="1:8">
      <c r="A6" s="11">
        <v>3</v>
      </c>
      <c r="B6" s="17" t="s">
        <v>67</v>
      </c>
      <c r="C6" s="12">
        <f>Опросник!D21</f>
        <v>50</v>
      </c>
      <c r="D6" s="12"/>
      <c r="E6" s="13" t="s">
        <v>81</v>
      </c>
      <c r="F6" s="18">
        <f>Прайс!J4</f>
        <v>1</v>
      </c>
      <c r="G6" s="19" t="s">
        <v>14</v>
      </c>
      <c r="H6" s="20"/>
    </row>
    <row r="7" spans="1:8">
      <c r="A7" s="16">
        <v>4</v>
      </c>
      <c r="B7" s="17" t="s">
        <v>69</v>
      </c>
      <c r="C7" s="12">
        <f>Опросник!D21</f>
        <v>50</v>
      </c>
      <c r="D7" s="12"/>
      <c r="E7" s="13" t="s">
        <v>108</v>
      </c>
      <c r="F7" s="18">
        <f>Прайс!L4</f>
        <v>8</v>
      </c>
      <c r="G7" s="19" t="s">
        <v>14</v>
      </c>
      <c r="H7" s="20"/>
    </row>
    <row r="8" spans="1:8">
      <c r="A8" s="11">
        <v>5</v>
      </c>
      <c r="B8" s="17" t="s">
        <v>68</v>
      </c>
      <c r="C8" s="12">
        <f>Опросник!D21</f>
        <v>50</v>
      </c>
      <c r="D8" s="12"/>
      <c r="E8" s="13" t="s">
        <v>81</v>
      </c>
      <c r="F8" s="18">
        <f>Прайс!K4</f>
        <v>8</v>
      </c>
      <c r="G8" s="19" t="s">
        <v>14</v>
      </c>
      <c r="H8" s="20"/>
    </row>
    <row r="9" spans="1:8">
      <c r="A9" s="16">
        <v>6</v>
      </c>
      <c r="B9" s="17" t="s">
        <v>93</v>
      </c>
      <c r="C9" s="12">
        <f>C8</f>
        <v>50</v>
      </c>
      <c r="D9" s="12">
        <f>Опросник!D13</f>
        <v>100</v>
      </c>
      <c r="E9" s="13" t="s">
        <v>81</v>
      </c>
      <c r="F9" s="18">
        <f>IF(Опросник!D21&lt;Опросник!D13,Опросник!F13,0)</f>
        <v>1</v>
      </c>
      <c r="G9" s="19" t="s">
        <v>14</v>
      </c>
      <c r="H9" s="20"/>
    </row>
    <row r="10" spans="1:8">
      <c r="A10" s="11">
        <v>7</v>
      </c>
      <c r="B10" s="17" t="s">
        <v>69</v>
      </c>
      <c r="C10" s="12">
        <f>Опросник!D13</f>
        <v>100</v>
      </c>
      <c r="D10" s="12"/>
      <c r="E10" s="13" t="s">
        <v>81</v>
      </c>
      <c r="F10" s="18">
        <f>Прайс!L4</f>
        <v>8</v>
      </c>
      <c r="G10" s="19" t="s">
        <v>14</v>
      </c>
      <c r="H10" s="20"/>
    </row>
    <row r="11" spans="1:8">
      <c r="A11" s="16">
        <v>8</v>
      </c>
      <c r="B11" s="17" t="s">
        <v>68</v>
      </c>
      <c r="C11" s="12">
        <f>Опросник!D13</f>
        <v>100</v>
      </c>
      <c r="D11" s="12"/>
      <c r="E11" s="13" t="s">
        <v>81</v>
      </c>
      <c r="F11" s="18">
        <f>F10</f>
        <v>8</v>
      </c>
      <c r="G11" s="19" t="s">
        <v>14</v>
      </c>
      <c r="H11" s="20"/>
    </row>
    <row r="12" spans="1:8">
      <c r="A12" s="11">
        <v>9</v>
      </c>
      <c r="B12" s="17" t="s">
        <v>83</v>
      </c>
      <c r="C12" s="12"/>
      <c r="D12" s="12"/>
      <c r="E12" s="13" t="s">
        <v>81</v>
      </c>
      <c r="F12" s="18">
        <f>SUM(Прайс!Q6:Q17)</f>
        <v>972</v>
      </c>
      <c r="G12" s="19" t="s">
        <v>14</v>
      </c>
      <c r="H12" s="20"/>
    </row>
    <row r="13" spans="1:8">
      <c r="A13" s="16">
        <v>10</v>
      </c>
      <c r="B13" s="17" t="s">
        <v>113</v>
      </c>
      <c r="C13" s="12"/>
      <c r="D13" s="12"/>
      <c r="E13" s="13" t="s">
        <v>81</v>
      </c>
      <c r="F13" s="18">
        <f>F12*2</f>
        <v>1944</v>
      </c>
      <c r="G13" s="19" t="s">
        <v>14</v>
      </c>
      <c r="H13" s="20"/>
    </row>
    <row r="14" spans="1:8">
      <c r="A14" s="11">
        <v>11</v>
      </c>
      <c r="B14" s="17" t="s">
        <v>84</v>
      </c>
      <c r="C14" s="12"/>
      <c r="D14" s="12"/>
      <c r="E14" s="13" t="s">
        <v>81</v>
      </c>
      <c r="F14" s="18">
        <f>F12</f>
        <v>972</v>
      </c>
      <c r="G14" s="19" t="s">
        <v>14</v>
      </c>
      <c r="H14" s="20"/>
    </row>
    <row r="15" spans="1:8">
      <c r="A15" s="16">
        <v>12</v>
      </c>
      <c r="B15" s="17" t="s">
        <v>85</v>
      </c>
      <c r="C15" s="12"/>
      <c r="D15" s="12"/>
      <c r="E15" s="13" t="s">
        <v>81</v>
      </c>
      <c r="F15" s="18">
        <f>F12</f>
        <v>972</v>
      </c>
      <c r="G15" s="19" t="s">
        <v>14</v>
      </c>
      <c r="H15" s="20"/>
    </row>
    <row r="16" spans="1:8">
      <c r="A16" s="11">
        <v>13</v>
      </c>
      <c r="B16" s="17" t="s">
        <v>95</v>
      </c>
      <c r="C16" s="12"/>
      <c r="D16" s="12"/>
      <c r="E16" s="13" t="s">
        <v>81</v>
      </c>
      <c r="F16" s="18">
        <f>Расчет!C31</f>
        <v>12</v>
      </c>
      <c r="G16" s="19" t="s">
        <v>14</v>
      </c>
      <c r="H16" s="20"/>
    </row>
    <row r="17" spans="1:8">
      <c r="A17" s="16">
        <v>14</v>
      </c>
      <c r="B17" s="17" t="s">
        <v>96</v>
      </c>
      <c r="C17" s="12">
        <v>40</v>
      </c>
      <c r="D17" s="12"/>
      <c r="E17" s="13" t="s">
        <v>81</v>
      </c>
      <c r="F17" s="18"/>
      <c r="G17" s="14" t="s">
        <v>14</v>
      </c>
      <c r="H17" s="20"/>
    </row>
    <row r="18" spans="1:8">
      <c r="A18" s="11">
        <v>15</v>
      </c>
      <c r="B18" s="17" t="s">
        <v>97</v>
      </c>
      <c r="C18" s="12">
        <v>50</v>
      </c>
      <c r="D18" s="12"/>
      <c r="E18" s="13"/>
      <c r="F18" s="18"/>
      <c r="G18" s="14" t="s">
        <v>14</v>
      </c>
      <c r="H18" s="20"/>
    </row>
    <row r="19" spans="1:8">
      <c r="A19" s="16">
        <v>16</v>
      </c>
      <c r="B19" s="17" t="s">
        <v>97</v>
      </c>
      <c r="C19" s="12">
        <v>65</v>
      </c>
      <c r="D19" s="12"/>
      <c r="E19" s="13"/>
      <c r="F19" s="18"/>
      <c r="G19" s="14" t="s">
        <v>14</v>
      </c>
      <c r="H19" s="20"/>
    </row>
    <row r="20" spans="1:8">
      <c r="A20" s="11">
        <v>17</v>
      </c>
      <c r="B20" s="17" t="s">
        <v>98</v>
      </c>
      <c r="C20" s="12">
        <v>50</v>
      </c>
      <c r="D20" s="12"/>
      <c r="E20" s="13" t="s">
        <v>1</v>
      </c>
      <c r="F20" s="18">
        <f>Прайс!O4</f>
        <v>2</v>
      </c>
      <c r="G20" s="19" t="s">
        <v>14</v>
      </c>
      <c r="H20" s="20"/>
    </row>
    <row r="21" spans="1:8">
      <c r="A21" s="16">
        <v>18</v>
      </c>
      <c r="B21" s="17" t="s">
        <v>99</v>
      </c>
      <c r="C21" s="17">
        <v>50</v>
      </c>
      <c r="D21" s="17"/>
      <c r="E21" s="18" t="s">
        <v>1</v>
      </c>
      <c r="F21" s="18">
        <f>Прайс!P4</f>
        <v>2</v>
      </c>
      <c r="G21" s="19" t="s">
        <v>14</v>
      </c>
      <c r="H21" s="20"/>
    </row>
    <row r="22" spans="1:8">
      <c r="A22" s="16"/>
      <c r="B22" s="17"/>
      <c r="C22" s="17"/>
      <c r="D22" s="17"/>
      <c r="E22" s="18"/>
      <c r="F22" s="18"/>
      <c r="G22" s="19"/>
      <c r="H22" s="20"/>
    </row>
    <row r="23" spans="1:8">
      <c r="A23" s="16">
        <v>20</v>
      </c>
      <c r="B23" s="17" t="s">
        <v>86</v>
      </c>
      <c r="C23" s="12"/>
      <c r="D23" s="12"/>
      <c r="E23" s="13" t="s">
        <v>81</v>
      </c>
      <c r="F23" s="18">
        <f>Расчет!C37</f>
        <v>12.2</v>
      </c>
      <c r="G23" s="19" t="s">
        <v>16</v>
      </c>
      <c r="H23" s="20"/>
    </row>
    <row r="24" spans="1:8">
      <c r="A24" s="16">
        <v>21</v>
      </c>
      <c r="B24" s="17" t="s">
        <v>87</v>
      </c>
      <c r="C24" s="12"/>
      <c r="D24" s="12"/>
      <c r="E24" s="13" t="s">
        <v>81</v>
      </c>
      <c r="F24" s="18">
        <f>Опросник!D16*2</f>
        <v>4</v>
      </c>
      <c r="G24" s="19" t="s">
        <v>14</v>
      </c>
      <c r="H24" s="20"/>
    </row>
    <row r="25" spans="1:8">
      <c r="A25" s="16">
        <v>22</v>
      </c>
      <c r="B25" s="17" t="s">
        <v>88</v>
      </c>
      <c r="C25" s="17"/>
      <c r="D25" s="17"/>
      <c r="E25" s="18" t="s">
        <v>89</v>
      </c>
      <c r="F25" s="18">
        <f>Расчет!C38</f>
        <v>3</v>
      </c>
      <c r="G25" s="19" t="s">
        <v>16</v>
      </c>
      <c r="H25" s="20"/>
    </row>
    <row r="26" spans="1:8">
      <c r="A26" s="16">
        <v>23</v>
      </c>
      <c r="B26" s="17" t="s">
        <v>87</v>
      </c>
      <c r="C26" s="17"/>
      <c r="D26" s="17"/>
      <c r="E26" s="18" t="s">
        <v>89</v>
      </c>
      <c r="F26" s="18">
        <f>SUM(Опросник!D11:D11)*Опросник!F9</f>
        <v>1</v>
      </c>
      <c r="G26" s="19" t="s">
        <v>14</v>
      </c>
      <c r="H26" s="20"/>
    </row>
    <row r="27" spans="1:8">
      <c r="A27" s="16">
        <v>24</v>
      </c>
      <c r="B27" s="17" t="s">
        <v>90</v>
      </c>
      <c r="C27" s="17"/>
      <c r="D27" s="17"/>
      <c r="E27" s="18" t="s">
        <v>89</v>
      </c>
      <c r="F27" s="18">
        <f>F26</f>
        <v>1</v>
      </c>
      <c r="G27" s="19" t="s">
        <v>14</v>
      </c>
      <c r="H27" s="20"/>
    </row>
    <row r="28" spans="1:8">
      <c r="A28" s="16"/>
      <c r="B28" s="17"/>
      <c r="C28" s="17"/>
      <c r="D28" s="17"/>
      <c r="E28" s="18"/>
      <c r="F28" s="18"/>
      <c r="G28" s="19"/>
      <c r="H28" s="20"/>
    </row>
    <row r="29" spans="1:8">
      <c r="A29" s="16">
        <v>25</v>
      </c>
      <c r="B29" s="17" t="s">
        <v>42</v>
      </c>
      <c r="C29" s="17"/>
      <c r="D29" s="17"/>
      <c r="E29" s="18"/>
      <c r="F29" s="18">
        <f>Опросник!F21</f>
        <v>2</v>
      </c>
      <c r="G29" s="19" t="s">
        <v>14</v>
      </c>
      <c r="H29" s="20"/>
    </row>
    <row r="30" spans="1:8">
      <c r="A30" s="16">
        <v>26</v>
      </c>
      <c r="B30" s="17" t="s">
        <v>100</v>
      </c>
      <c r="C30" s="17"/>
      <c r="D30" s="17"/>
      <c r="E30" s="18"/>
      <c r="F30" s="18">
        <f>Опросник!D16</f>
        <v>2</v>
      </c>
      <c r="G30" s="19" t="s">
        <v>14</v>
      </c>
      <c r="H30" s="20"/>
    </row>
    <row r="31" spans="1:8">
      <c r="A31" s="16">
        <v>27</v>
      </c>
      <c r="B31" s="17" t="s">
        <v>91</v>
      </c>
      <c r="C31" s="17"/>
      <c r="D31" s="17"/>
      <c r="E31" s="18"/>
      <c r="F31" s="18">
        <f>IF(Опросник!D18=0,0,1)</f>
        <v>0</v>
      </c>
      <c r="G31" s="19" t="s">
        <v>14</v>
      </c>
      <c r="H31" s="20"/>
    </row>
    <row r="32" spans="1:8">
      <c r="A32" s="16">
        <v>28</v>
      </c>
      <c r="B32" s="17" t="s">
        <v>43</v>
      </c>
      <c r="C32" s="17"/>
      <c r="D32" s="17"/>
      <c r="E32" s="18"/>
      <c r="F32" s="18">
        <f>Расчет!C47</f>
        <v>4</v>
      </c>
      <c r="G32" s="19" t="s">
        <v>14</v>
      </c>
      <c r="H32" s="20"/>
    </row>
    <row r="33" spans="1:8">
      <c r="A33" s="16"/>
      <c r="B33" s="17"/>
      <c r="C33" s="17"/>
      <c r="D33" s="17"/>
      <c r="E33" s="18"/>
      <c r="F33" s="18"/>
      <c r="G33" s="19"/>
      <c r="H33" s="20"/>
    </row>
    <row r="34" spans="1:8">
      <c r="A34" s="16">
        <v>30</v>
      </c>
      <c r="B34" s="17" t="s">
        <v>60</v>
      </c>
      <c r="C34" s="17"/>
      <c r="D34" s="17"/>
      <c r="E34" s="18"/>
      <c r="F34" s="18"/>
      <c r="G34" s="19"/>
      <c r="H34" s="20"/>
    </row>
    <row r="35" spans="1:8">
      <c r="A35" s="16">
        <v>31</v>
      </c>
      <c r="B35" s="17" t="s">
        <v>92</v>
      </c>
      <c r="C35" s="17"/>
      <c r="D35" s="17"/>
      <c r="E35" s="18"/>
      <c r="F35" s="18"/>
      <c r="G35" s="19" t="s">
        <v>14</v>
      </c>
      <c r="H35" s="20"/>
    </row>
    <row r="36" spans="1:8">
      <c r="A36" s="16">
        <v>32</v>
      </c>
      <c r="B36" s="17" t="s">
        <v>110</v>
      </c>
      <c r="C36" s="17"/>
      <c r="D36" s="17"/>
      <c r="E36" s="18"/>
      <c r="F36" s="18"/>
      <c r="G36" s="19" t="s">
        <v>14</v>
      </c>
      <c r="H36" s="20"/>
    </row>
    <row r="37" spans="1:8">
      <c r="A37" s="16">
        <v>33</v>
      </c>
      <c r="B37" s="17" t="s">
        <v>111</v>
      </c>
      <c r="C37" s="17"/>
      <c r="D37" s="17"/>
      <c r="E37" s="18"/>
      <c r="F37" s="18"/>
      <c r="G37" s="19" t="s">
        <v>14</v>
      </c>
      <c r="H37" s="20"/>
    </row>
    <row r="38" spans="1:8">
      <c r="A38" s="16">
        <v>34</v>
      </c>
      <c r="B38" s="17" t="s">
        <v>112</v>
      </c>
      <c r="C38" s="17"/>
      <c r="D38" s="17"/>
      <c r="E38" s="18"/>
      <c r="F38" s="18"/>
      <c r="G38" s="19" t="s">
        <v>14</v>
      </c>
      <c r="H38" s="20"/>
    </row>
    <row r="39" spans="1:8">
      <c r="A39" s="16"/>
      <c r="B39" s="17"/>
      <c r="C39" s="17"/>
      <c r="D39" s="17"/>
      <c r="E39" s="18"/>
      <c r="F39" s="18"/>
      <c r="G39" s="19"/>
      <c r="H39" s="20"/>
    </row>
    <row r="40" spans="1:8">
      <c r="A40" s="16"/>
      <c r="B40" s="17"/>
      <c r="C40" s="17"/>
      <c r="D40" s="17"/>
      <c r="E40" s="18"/>
      <c r="F40" s="18"/>
      <c r="G40" s="19"/>
      <c r="H40" s="20"/>
    </row>
    <row r="41" spans="1:8">
      <c r="A41" s="16"/>
      <c r="B41" s="17"/>
      <c r="C41" s="17"/>
      <c r="D41" s="17"/>
      <c r="E41" s="18"/>
      <c r="F41" s="18"/>
      <c r="G41" s="19"/>
      <c r="H41" s="20"/>
    </row>
    <row r="42" spans="1:8">
      <c r="A42" s="16"/>
      <c r="B42" s="17"/>
      <c r="C42" s="17"/>
      <c r="D42" s="17"/>
      <c r="E42" s="18"/>
      <c r="F42" s="18"/>
      <c r="G42" s="19"/>
      <c r="H42" s="20"/>
    </row>
    <row r="43" spans="1:8">
      <c r="A43" s="16"/>
      <c r="B43" s="17"/>
      <c r="C43" s="17"/>
      <c r="D43" s="17"/>
      <c r="E43" s="18"/>
      <c r="F43" s="18"/>
      <c r="G43" s="19"/>
      <c r="H43" s="20"/>
    </row>
    <row r="44" spans="1:8">
      <c r="A44" s="16"/>
      <c r="B44" s="17"/>
      <c r="C44" s="17"/>
      <c r="D44" s="17"/>
      <c r="E44" s="18"/>
      <c r="F44" s="18"/>
      <c r="G44" s="19"/>
      <c r="H44" s="20"/>
    </row>
    <row r="45" spans="1:8" ht="15.75" thickBot="1">
      <c r="A45" s="21"/>
      <c r="B45" s="22"/>
      <c r="C45" s="22"/>
      <c r="D45" s="22"/>
      <c r="E45" s="23"/>
      <c r="F45" s="23"/>
      <c r="G45" s="24"/>
      <c r="H45" s="25"/>
    </row>
  </sheetData>
  <mergeCells count="1">
    <mergeCell ref="C1:D1"/>
  </mergeCells>
  <pageMargins left="0.4" right="0.17" top="0.75" bottom="0.75" header="0.31"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E36"/>
  <sheetViews>
    <sheetView workbookViewId="0">
      <selection activeCell="D14" sqref="D14"/>
    </sheetView>
  </sheetViews>
  <sheetFormatPr defaultRowHeight="15"/>
  <cols>
    <col min="1" max="1" width="59.85546875" bestFit="1" customWidth="1"/>
    <col min="2" max="2" width="28.42578125" bestFit="1" customWidth="1"/>
    <col min="3" max="3" width="7.28515625" bestFit="1" customWidth="1"/>
    <col min="4" max="4" width="9.140625" bestFit="1" customWidth="1"/>
    <col min="5" max="5" width="11.5703125" bestFit="1" customWidth="1"/>
    <col min="8" max="8" width="15.7109375" bestFit="1" customWidth="1"/>
    <col min="10" max="10" width="15.5703125" bestFit="1" customWidth="1"/>
  </cols>
  <sheetData>
    <row r="1" spans="1:5">
      <c r="A1" t="s">
        <v>580</v>
      </c>
    </row>
    <row r="2" spans="1:5">
      <c r="A2" t="s">
        <v>128</v>
      </c>
      <c r="B2" t="s">
        <v>129</v>
      </c>
      <c r="C2" t="s">
        <v>62</v>
      </c>
      <c r="D2" t="s">
        <v>126</v>
      </c>
      <c r="E2" t="s">
        <v>127</v>
      </c>
    </row>
    <row r="3" spans="1:5">
      <c r="A3" t="s">
        <v>130</v>
      </c>
      <c r="B3" t="s">
        <v>131</v>
      </c>
      <c r="C3">
        <v>1</v>
      </c>
      <c r="D3" s="29">
        <v>556806</v>
      </c>
      <c r="E3" t="s">
        <v>581</v>
      </c>
    </row>
    <row r="4" spans="1:5">
      <c r="A4" t="s">
        <v>132</v>
      </c>
      <c r="B4" t="s">
        <v>133</v>
      </c>
      <c r="C4">
        <v>1</v>
      </c>
      <c r="D4" s="29">
        <v>453348</v>
      </c>
      <c r="E4" t="s">
        <v>582</v>
      </c>
    </row>
    <row r="5" spans="1:5">
      <c r="A5" t="s">
        <v>134</v>
      </c>
      <c r="B5" t="s">
        <v>135</v>
      </c>
      <c r="C5">
        <v>100</v>
      </c>
      <c r="D5" s="29">
        <v>156887</v>
      </c>
      <c r="E5" t="s">
        <v>583</v>
      </c>
    </row>
    <row r="6" spans="1:5">
      <c r="A6" t="s">
        <v>286</v>
      </c>
      <c r="B6" t="s">
        <v>136</v>
      </c>
      <c r="C6" s="29">
        <v>1</v>
      </c>
      <c r="D6" s="29">
        <v>299961</v>
      </c>
      <c r="E6" t="s">
        <v>584</v>
      </c>
    </row>
    <row r="7" spans="1:5">
      <c r="A7" t="s">
        <v>137</v>
      </c>
      <c r="B7" t="s">
        <v>138</v>
      </c>
      <c r="C7">
        <v>1</v>
      </c>
      <c r="D7" s="29">
        <v>465148</v>
      </c>
      <c r="E7" t="s">
        <v>585</v>
      </c>
    </row>
    <row r="8" spans="1:5">
      <c r="A8" t="s">
        <v>139</v>
      </c>
      <c r="B8" t="s">
        <v>140</v>
      </c>
      <c r="C8">
        <v>1</v>
      </c>
      <c r="D8" s="29">
        <v>139241</v>
      </c>
      <c r="E8" t="s">
        <v>586</v>
      </c>
    </row>
    <row r="9" spans="1:5">
      <c r="A9" t="s">
        <v>141</v>
      </c>
      <c r="B9" t="s">
        <v>142</v>
      </c>
      <c r="C9">
        <v>100</v>
      </c>
      <c r="D9" s="29">
        <v>255477</v>
      </c>
      <c r="E9" t="s">
        <v>587</v>
      </c>
    </row>
    <row r="10" spans="1:5">
      <c r="A10" t="s">
        <v>143</v>
      </c>
      <c r="B10" t="s">
        <v>144</v>
      </c>
      <c r="C10" s="29" t="s">
        <v>578</v>
      </c>
      <c r="D10" s="29">
        <v>670697</v>
      </c>
      <c r="E10" t="s">
        <v>588</v>
      </c>
    </row>
    <row r="11" spans="1:5">
      <c r="A11" t="s">
        <v>475</v>
      </c>
      <c r="B11" t="s">
        <v>476</v>
      </c>
      <c r="C11">
        <v>10</v>
      </c>
      <c r="D11" s="29">
        <v>993844</v>
      </c>
      <c r="E11" s="29" t="s">
        <v>589</v>
      </c>
    </row>
    <row r="12" spans="1:5">
      <c r="A12" t="s">
        <v>145</v>
      </c>
      <c r="B12" t="s">
        <v>146</v>
      </c>
      <c r="C12">
        <v>1</v>
      </c>
      <c r="D12" s="29">
        <v>122237</v>
      </c>
      <c r="E12" t="s">
        <v>590</v>
      </c>
    </row>
    <row r="13" spans="1:5">
      <c r="A13" t="s">
        <v>147</v>
      </c>
      <c r="B13" t="s">
        <v>148</v>
      </c>
      <c r="C13">
        <v>1</v>
      </c>
      <c r="D13" s="29">
        <v>770239</v>
      </c>
      <c r="E13" t="s">
        <v>591</v>
      </c>
    </row>
    <row r="14" spans="1:5">
      <c r="A14" t="s">
        <v>149</v>
      </c>
      <c r="B14" t="s">
        <v>150</v>
      </c>
      <c r="C14">
        <v>1</v>
      </c>
      <c r="D14" s="29">
        <v>910037</v>
      </c>
      <c r="E14" t="s">
        <v>592</v>
      </c>
    </row>
    <row r="15" spans="1:5">
      <c r="A15" t="s">
        <v>151</v>
      </c>
      <c r="B15" t="s">
        <v>152</v>
      </c>
      <c r="C15">
        <v>10</v>
      </c>
      <c r="D15" s="29">
        <v>105151</v>
      </c>
      <c r="E15" t="s">
        <v>593</v>
      </c>
    </row>
    <row r="16" spans="1:5">
      <c r="A16" t="s">
        <v>153</v>
      </c>
      <c r="B16" t="s">
        <v>154</v>
      </c>
      <c r="C16">
        <v>100</v>
      </c>
      <c r="D16" s="29">
        <v>179946</v>
      </c>
      <c r="E16" t="s">
        <v>594</v>
      </c>
    </row>
    <row r="17" spans="1:5">
      <c r="A17" t="s">
        <v>155</v>
      </c>
      <c r="B17" t="s">
        <v>156</v>
      </c>
      <c r="C17">
        <v>1</v>
      </c>
      <c r="D17" s="29">
        <v>586759</v>
      </c>
      <c r="E17" t="s">
        <v>595</v>
      </c>
    </row>
    <row r="18" spans="1:5">
      <c r="A18" t="s">
        <v>157</v>
      </c>
      <c r="B18" t="s">
        <v>158</v>
      </c>
      <c r="C18">
        <v>100</v>
      </c>
      <c r="D18" s="29">
        <v>967104</v>
      </c>
      <c r="E18" s="29" t="s">
        <v>596</v>
      </c>
    </row>
    <row r="19" spans="1:5">
      <c r="A19" t="s">
        <v>159</v>
      </c>
      <c r="B19" t="s">
        <v>160</v>
      </c>
      <c r="C19">
        <v>1</v>
      </c>
      <c r="D19" s="29">
        <v>114304</v>
      </c>
      <c r="E19" t="s">
        <v>597</v>
      </c>
    </row>
    <row r="20" spans="1:5">
      <c r="A20" t="s">
        <v>161</v>
      </c>
      <c r="B20" t="s">
        <v>162</v>
      </c>
      <c r="C20">
        <v>10</v>
      </c>
      <c r="D20" s="29">
        <v>454687</v>
      </c>
      <c r="E20" t="s">
        <v>598</v>
      </c>
    </row>
    <row r="21" spans="1:5">
      <c r="A21" t="s">
        <v>164</v>
      </c>
      <c r="B21" t="s">
        <v>165</v>
      </c>
      <c r="C21">
        <v>1</v>
      </c>
      <c r="D21" s="29">
        <v>220383</v>
      </c>
      <c r="E21" t="s">
        <v>599</v>
      </c>
    </row>
    <row r="22" spans="1:5">
      <c r="A22" t="s">
        <v>166</v>
      </c>
      <c r="B22" t="s">
        <v>167</v>
      </c>
      <c r="C22">
        <v>10</v>
      </c>
      <c r="D22" s="29">
        <v>843894</v>
      </c>
      <c r="E22" s="29">
        <v>10163</v>
      </c>
    </row>
    <row r="23" spans="1:5">
      <c r="A23" t="s">
        <v>168</v>
      </c>
      <c r="B23" t="s">
        <v>169</v>
      </c>
      <c r="C23">
        <v>1</v>
      </c>
      <c r="D23" s="29">
        <v>203342</v>
      </c>
      <c r="E23" t="s">
        <v>600</v>
      </c>
    </row>
    <row r="24" spans="1:5">
      <c r="A24" t="s">
        <v>163</v>
      </c>
      <c r="B24" t="s">
        <v>293</v>
      </c>
      <c r="C24">
        <v>1</v>
      </c>
      <c r="D24" s="29">
        <v>18672</v>
      </c>
      <c r="E24" t="s">
        <v>601</v>
      </c>
    </row>
    <row r="25" spans="1:5">
      <c r="A25" t="s">
        <v>170</v>
      </c>
      <c r="B25" t="s">
        <v>171</v>
      </c>
      <c r="C25">
        <v>1</v>
      </c>
      <c r="D25" s="29">
        <v>108958</v>
      </c>
      <c r="E25" s="29" t="s">
        <v>602</v>
      </c>
    </row>
    <row r="26" spans="1:5">
      <c r="A26" t="s">
        <v>172</v>
      </c>
      <c r="B26" t="s">
        <v>173</v>
      </c>
      <c r="C26">
        <v>1</v>
      </c>
      <c r="D26" s="29" t="s">
        <v>603</v>
      </c>
      <c r="E26" t="s">
        <v>604</v>
      </c>
    </row>
    <row r="27" spans="1:5">
      <c r="A27" t="s">
        <v>174</v>
      </c>
      <c r="B27" t="s">
        <v>175</v>
      </c>
      <c r="C27">
        <v>10</v>
      </c>
      <c r="D27" s="29">
        <v>746356</v>
      </c>
      <c r="E27" t="s">
        <v>605</v>
      </c>
    </row>
    <row r="28" spans="1:5">
      <c r="A28" t="s">
        <v>176</v>
      </c>
      <c r="B28" t="s">
        <v>177</v>
      </c>
      <c r="C28" s="29">
        <v>10</v>
      </c>
      <c r="D28" s="29">
        <v>976073</v>
      </c>
      <c r="E28" s="29" t="s">
        <v>606</v>
      </c>
    </row>
    <row r="29" spans="1:5">
      <c r="A29" t="s">
        <v>178</v>
      </c>
      <c r="B29" t="s">
        <v>179</v>
      </c>
      <c r="C29" s="29" t="s">
        <v>579</v>
      </c>
      <c r="D29" s="29">
        <v>74412</v>
      </c>
      <c r="E29" t="s">
        <v>607</v>
      </c>
    </row>
    <row r="30" spans="1:5">
      <c r="A30" t="s">
        <v>180</v>
      </c>
      <c r="B30" t="s">
        <v>181</v>
      </c>
      <c r="C30">
        <v>10</v>
      </c>
      <c r="D30" s="29">
        <v>272741</v>
      </c>
      <c r="E30" t="s">
        <v>608</v>
      </c>
    </row>
    <row r="31" spans="1:5">
      <c r="A31" t="s">
        <v>182</v>
      </c>
      <c r="B31" t="s">
        <v>183</v>
      </c>
      <c r="C31">
        <v>1</v>
      </c>
      <c r="D31" s="29">
        <v>1003621</v>
      </c>
      <c r="E31" s="29" t="s">
        <v>609</v>
      </c>
    </row>
    <row r="32" spans="1:5">
      <c r="A32" t="s">
        <v>184</v>
      </c>
      <c r="B32" t="s">
        <v>185</v>
      </c>
      <c r="C32">
        <v>10</v>
      </c>
      <c r="D32" s="29">
        <v>33588</v>
      </c>
      <c r="E32" t="s">
        <v>610</v>
      </c>
    </row>
    <row r="33" spans="1:5">
      <c r="A33" t="s">
        <v>186</v>
      </c>
      <c r="B33" t="s">
        <v>187</v>
      </c>
      <c r="C33">
        <v>10</v>
      </c>
      <c r="D33" s="29">
        <v>875909</v>
      </c>
      <c r="E33" t="s">
        <v>611</v>
      </c>
    </row>
    <row r="34" spans="1:5">
      <c r="A34" t="s">
        <v>188</v>
      </c>
      <c r="B34" t="s">
        <v>189</v>
      </c>
      <c r="C34">
        <v>1</v>
      </c>
      <c r="D34" s="29">
        <v>845209</v>
      </c>
      <c r="E34" t="s">
        <v>612</v>
      </c>
    </row>
    <row r="35" spans="1:5">
      <c r="A35" t="s">
        <v>190</v>
      </c>
      <c r="B35" t="s">
        <v>191</v>
      </c>
      <c r="C35">
        <v>10</v>
      </c>
      <c r="D35" s="29">
        <v>466806</v>
      </c>
      <c r="E35" t="s">
        <v>613</v>
      </c>
    </row>
    <row r="36" spans="1:5">
      <c r="A36" t="s">
        <v>192</v>
      </c>
      <c r="B36" t="s">
        <v>193</v>
      </c>
      <c r="C36">
        <v>100</v>
      </c>
      <c r="D36" s="29">
        <v>729497</v>
      </c>
      <c r="E36" t="s">
        <v>614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Опросник</vt:lpstr>
      <vt:lpstr>Расчет</vt:lpstr>
      <vt:lpstr>КП</vt:lpstr>
      <vt:lpstr>Заказчики</vt:lpstr>
      <vt:lpstr>Прайс</vt:lpstr>
      <vt:lpstr>Специф</vt:lpstr>
      <vt:lpstr>Лист4</vt:lpstr>
      <vt:lpstr>Лист4!rates</vt:lpstr>
      <vt:lpstr>Лист4!www.interfax.ru</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Vitali Batrakov</dc:creator>
  <cp:lastModifiedBy>Ivan Savateev</cp:lastModifiedBy>
  <cp:lastPrinted>2020-03-01T15:33:37Z</cp:lastPrinted>
  <dcterms:created xsi:type="dcterms:W3CDTF">2012-02-24T07:16:17Z</dcterms:created>
  <dcterms:modified xsi:type="dcterms:W3CDTF">2020-10-14T15:01:35Z</dcterms:modified>
</cp:coreProperties>
</file>