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Excel-Modeling-Tips-and-Tricks\"/>
    </mc:Choice>
  </mc:AlternateContent>
  <xr:revisionPtr revIDLastSave="0" documentId="8_{0248144C-8F0D-4BC9-A5A9-3221D8DD22F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actset 2.0" sheetId="2" state="hidden" r:id="rId1"/>
    <sheet name="AirBnB 2.0" sheetId="3" r:id="rId2"/>
  </sheets>
  <calcPr calcId="181029"/>
</workbook>
</file>

<file path=xl/calcChain.xml><?xml version="1.0" encoding="utf-8"?>
<calcChain xmlns="http://schemas.openxmlformats.org/spreadsheetml/2006/main">
  <c r="U32" i="3" l="1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13" i="3"/>
  <c r="U7" i="3"/>
  <c r="U8" i="3"/>
  <c r="U9" i="3"/>
  <c r="U10" i="3"/>
  <c r="U6" i="3"/>
  <c r="B30" i="3"/>
  <c r="R29" i="3"/>
  <c r="Q29" i="3"/>
  <c r="P29" i="3"/>
  <c r="O29" i="3"/>
  <c r="N29" i="3"/>
  <c r="M29" i="3"/>
  <c r="L29" i="3"/>
  <c r="K29" i="3"/>
  <c r="J29" i="3"/>
  <c r="I29" i="3"/>
  <c r="H29" i="3"/>
  <c r="G29" i="3"/>
  <c r="S29" i="3" s="1"/>
  <c r="F29" i="3"/>
  <c r="E29" i="3"/>
  <c r="D29" i="3"/>
  <c r="C29" i="3"/>
  <c r="B29" i="3"/>
  <c r="B28" i="3"/>
  <c r="B27" i="3"/>
  <c r="S25" i="3"/>
  <c r="B23" i="3"/>
  <c r="S21" i="3"/>
  <c r="S20" i="3"/>
  <c r="S19" i="3"/>
  <c r="S18" i="3"/>
  <c r="S17" i="3"/>
  <c r="S16" i="3"/>
  <c r="S15" i="3"/>
  <c r="S14" i="3"/>
  <c r="S13" i="3"/>
  <c r="B9" i="3"/>
  <c r="B10" i="3" s="1"/>
  <c r="B8" i="3"/>
  <c r="B24" i="3" s="1"/>
  <c r="B7" i="3"/>
  <c r="B6" i="3"/>
  <c r="C6" i="3" s="1"/>
  <c r="O2" i="3"/>
  <c r="M2" i="3"/>
  <c r="B22" i="2"/>
  <c r="S19" i="2"/>
  <c r="S18" i="2"/>
  <c r="S16" i="2"/>
  <c r="S15" i="2"/>
  <c r="S14" i="2"/>
  <c r="S13" i="2"/>
  <c r="R12" i="2"/>
  <c r="Q12" i="2"/>
  <c r="P12" i="2"/>
  <c r="O12" i="2"/>
  <c r="N12" i="2"/>
  <c r="M12" i="2"/>
  <c r="L12" i="2"/>
  <c r="K12" i="2"/>
  <c r="J12" i="2"/>
  <c r="I12" i="2"/>
  <c r="H12" i="2"/>
  <c r="G12" i="2"/>
  <c r="S12" i="2" s="1"/>
  <c r="F12" i="2"/>
  <c r="E12" i="2"/>
  <c r="D12" i="2"/>
  <c r="C12" i="2"/>
  <c r="B12" i="2"/>
  <c r="S10" i="2"/>
  <c r="S9" i="2"/>
  <c r="C9" i="2"/>
  <c r="D9" i="2" s="1"/>
  <c r="B6" i="2"/>
  <c r="B25" i="2" s="1"/>
  <c r="J2" i="2"/>
  <c r="I2" i="2"/>
  <c r="D6" i="3" l="1"/>
  <c r="C7" i="3"/>
  <c r="E9" i="2"/>
  <c r="B22" i="3"/>
  <c r="B31" i="3" s="1"/>
  <c r="B32" i="3" s="1"/>
  <c r="B26" i="3"/>
  <c r="C6" i="2"/>
  <c r="B7" i="2"/>
  <c r="B23" i="2"/>
  <c r="B11" i="2"/>
  <c r="C8" i="3"/>
  <c r="C24" i="3" l="1"/>
  <c r="D8" i="3"/>
  <c r="C30" i="3"/>
  <c r="C28" i="3"/>
  <c r="C27" i="3"/>
  <c r="C23" i="3"/>
  <c r="C9" i="3"/>
  <c r="C10" i="3" s="1"/>
  <c r="B17" i="2"/>
  <c r="B26" i="2" s="1"/>
  <c r="B27" i="2" s="1"/>
  <c r="B21" i="2"/>
  <c r="B24" i="2"/>
  <c r="C25" i="2"/>
  <c r="C11" i="2"/>
  <c r="C22" i="2"/>
  <c r="C23" i="2"/>
  <c r="C7" i="2"/>
  <c r="D6" i="2"/>
  <c r="E6" i="3"/>
  <c r="D7" i="3"/>
  <c r="F6" i="3" l="1"/>
  <c r="E7" i="3"/>
  <c r="D25" i="2"/>
  <c r="D11" i="2"/>
  <c r="D23" i="2"/>
  <c r="D7" i="2"/>
  <c r="D22" i="2"/>
  <c r="E6" i="2"/>
  <c r="C21" i="2"/>
  <c r="C17" i="2"/>
  <c r="C26" i="2" s="1"/>
  <c r="C27" i="2" s="1"/>
  <c r="C24" i="2"/>
  <c r="E8" i="3"/>
  <c r="D30" i="3"/>
  <c r="D28" i="3"/>
  <c r="D23" i="3"/>
  <c r="D24" i="3"/>
  <c r="D9" i="3"/>
  <c r="D10" i="3" s="1"/>
  <c r="D27" i="3"/>
  <c r="C22" i="3"/>
  <c r="C31" i="3" s="1"/>
  <c r="C32" i="3" s="1"/>
  <c r="C26" i="3"/>
  <c r="E11" i="2" l="1"/>
  <c r="E23" i="2"/>
  <c r="E7" i="2"/>
  <c r="F6" i="2"/>
  <c r="E22" i="2"/>
  <c r="E25" i="2"/>
  <c r="D26" i="3"/>
  <c r="D22" i="3"/>
  <c r="D31" i="3" s="1"/>
  <c r="D32" i="3" s="1"/>
  <c r="F8" i="3"/>
  <c r="E30" i="3"/>
  <c r="E28" i="3"/>
  <c r="E23" i="3"/>
  <c r="E24" i="3"/>
  <c r="E9" i="3"/>
  <c r="E10" i="3" s="1"/>
  <c r="E27" i="3"/>
  <c r="D17" i="2"/>
  <c r="D26" i="2" s="1"/>
  <c r="D27" i="2" s="1"/>
  <c r="D21" i="2"/>
  <c r="D24" i="2"/>
  <c r="F7" i="3"/>
  <c r="G6" i="3"/>
  <c r="E17" i="2" l="1"/>
  <c r="E26" i="2" s="1"/>
  <c r="E27" i="2" s="1"/>
  <c r="E21" i="2"/>
  <c r="E24" i="2"/>
  <c r="E26" i="3"/>
  <c r="E22" i="3"/>
  <c r="E31" i="3" s="1"/>
  <c r="E32" i="3" s="1"/>
  <c r="F23" i="2"/>
  <c r="F7" i="2"/>
  <c r="F11" i="2"/>
  <c r="G6" i="2"/>
  <c r="F22" i="2"/>
  <c r="F25" i="2"/>
  <c r="G7" i="3"/>
  <c r="H6" i="3"/>
  <c r="F30" i="3"/>
  <c r="F28" i="3"/>
  <c r="F23" i="3"/>
  <c r="G8" i="3"/>
  <c r="F9" i="3"/>
  <c r="F10" i="3" s="1"/>
  <c r="F27" i="3"/>
  <c r="F24" i="3"/>
  <c r="G25" i="2" l="1"/>
  <c r="G7" i="2"/>
  <c r="G23" i="2"/>
  <c r="H6" i="2"/>
  <c r="G22" i="2"/>
  <c r="G11" i="2"/>
  <c r="F26" i="3"/>
  <c r="F22" i="3"/>
  <c r="F31" i="3" s="1"/>
  <c r="F32" i="3" s="1"/>
  <c r="H7" i="3"/>
  <c r="I6" i="3"/>
  <c r="F24" i="2"/>
  <c r="F17" i="2"/>
  <c r="F26" i="2" s="1"/>
  <c r="F27" i="2" s="1"/>
  <c r="F21" i="2"/>
  <c r="G30" i="3"/>
  <c r="G28" i="3"/>
  <c r="G23" i="3"/>
  <c r="H8" i="3"/>
  <c r="G9" i="3"/>
  <c r="G27" i="3"/>
  <c r="G24" i="3"/>
  <c r="G10" i="3" l="1"/>
  <c r="H7" i="2"/>
  <c r="H11" i="2"/>
  <c r="I6" i="2"/>
  <c r="H22" i="2"/>
  <c r="H23" i="2"/>
  <c r="H25" i="2"/>
  <c r="G17" i="2"/>
  <c r="G21" i="2"/>
  <c r="G24" i="2"/>
  <c r="G26" i="2" s="1"/>
  <c r="I7" i="3"/>
  <c r="J6" i="3"/>
  <c r="H23" i="3"/>
  <c r="H9" i="3"/>
  <c r="H10" i="3" s="1"/>
  <c r="H30" i="3"/>
  <c r="H27" i="3"/>
  <c r="H28" i="3"/>
  <c r="H24" i="3"/>
  <c r="I8" i="3"/>
  <c r="G27" i="2" l="1"/>
  <c r="H21" i="2"/>
  <c r="H17" i="2"/>
  <c r="H26" i="2" s="1"/>
  <c r="H24" i="2"/>
  <c r="G26" i="3"/>
  <c r="G22" i="3"/>
  <c r="J6" i="2"/>
  <c r="I23" i="2"/>
  <c r="I22" i="2"/>
  <c r="I25" i="2"/>
  <c r="I7" i="2"/>
  <c r="I11" i="2"/>
  <c r="J7" i="3"/>
  <c r="K6" i="3"/>
  <c r="I28" i="3"/>
  <c r="I9" i="3"/>
  <c r="I27" i="3"/>
  <c r="I24" i="3"/>
  <c r="I30" i="3"/>
  <c r="J8" i="3"/>
  <c r="I23" i="3"/>
  <c r="H32" i="3"/>
  <c r="H26" i="3"/>
  <c r="H22" i="3"/>
  <c r="H31" i="3" s="1"/>
  <c r="H27" i="2" l="1"/>
  <c r="J30" i="3"/>
  <c r="J9" i="3"/>
  <c r="J10" i="3" s="1"/>
  <c r="J27" i="3"/>
  <c r="J24" i="3"/>
  <c r="K8" i="3"/>
  <c r="J28" i="3"/>
  <c r="J23" i="3"/>
  <c r="I17" i="2"/>
  <c r="I24" i="2"/>
  <c r="I21" i="2"/>
  <c r="I10" i="3"/>
  <c r="K6" i="2"/>
  <c r="J22" i="2"/>
  <c r="J25" i="2"/>
  <c r="J11" i="2"/>
  <c r="J23" i="2"/>
  <c r="J7" i="2"/>
  <c r="G31" i="3"/>
  <c r="G32" i="3" s="1"/>
  <c r="K7" i="3"/>
  <c r="L6" i="3"/>
  <c r="I26" i="2" l="1"/>
  <c r="L6" i="2"/>
  <c r="K22" i="2"/>
  <c r="K25" i="2"/>
  <c r="K11" i="2"/>
  <c r="K23" i="2"/>
  <c r="K7" i="2"/>
  <c r="I22" i="3"/>
  <c r="I26" i="3"/>
  <c r="J24" i="2"/>
  <c r="J17" i="2"/>
  <c r="J26" i="2" s="1"/>
  <c r="J27" i="2" s="1"/>
  <c r="J21" i="2"/>
  <c r="K9" i="3"/>
  <c r="K27" i="3"/>
  <c r="K23" i="3"/>
  <c r="K24" i="3"/>
  <c r="L8" i="3"/>
  <c r="K30" i="3"/>
  <c r="K28" i="3"/>
  <c r="M6" i="3"/>
  <c r="L7" i="3"/>
  <c r="J22" i="3"/>
  <c r="J31" i="3" s="1"/>
  <c r="J32" i="3" s="1"/>
  <c r="J26" i="3"/>
  <c r="I27" i="2" l="1"/>
  <c r="M7" i="3"/>
  <c r="N6" i="3"/>
  <c r="L27" i="3"/>
  <c r="L24" i="3"/>
  <c r="M8" i="3"/>
  <c r="L30" i="3"/>
  <c r="L28" i="3"/>
  <c r="L23" i="3"/>
  <c r="L9" i="3"/>
  <c r="L10" i="3" s="1"/>
  <c r="I31" i="3"/>
  <c r="I32" i="3" s="1"/>
  <c r="K24" i="2"/>
  <c r="K26" i="2" s="1"/>
  <c r="K21" i="2"/>
  <c r="K17" i="2"/>
  <c r="L11" i="2"/>
  <c r="L22" i="2"/>
  <c r="L25" i="2"/>
  <c r="L23" i="2"/>
  <c r="L7" i="2"/>
  <c r="M6" i="2"/>
  <c r="K10" i="3"/>
  <c r="K27" i="2" l="1"/>
  <c r="K22" i="3"/>
  <c r="K26" i="3"/>
  <c r="O6" i="3"/>
  <c r="N7" i="3"/>
  <c r="L26" i="2"/>
  <c r="M27" i="3"/>
  <c r="M24" i="3"/>
  <c r="N8" i="3"/>
  <c r="M9" i="3"/>
  <c r="M30" i="3"/>
  <c r="M28" i="3"/>
  <c r="M23" i="3"/>
  <c r="M22" i="2"/>
  <c r="M25" i="2"/>
  <c r="M11" i="2"/>
  <c r="M7" i="2"/>
  <c r="N6" i="2"/>
  <c r="M23" i="2"/>
  <c r="L24" i="2"/>
  <c r="L17" i="2"/>
  <c r="L21" i="2"/>
  <c r="L22" i="3"/>
  <c r="L26" i="3"/>
  <c r="P6" i="3" l="1"/>
  <c r="O7" i="3"/>
  <c r="K31" i="3"/>
  <c r="K32" i="3" s="1"/>
  <c r="M10" i="3"/>
  <c r="L31" i="3"/>
  <c r="L32" i="3" s="1"/>
  <c r="L27" i="2"/>
  <c r="N24" i="3"/>
  <c r="N9" i="3"/>
  <c r="N10" i="3" s="1"/>
  <c r="O8" i="3"/>
  <c r="N30" i="3"/>
  <c r="N28" i="3"/>
  <c r="N23" i="3"/>
  <c r="N27" i="3"/>
  <c r="N25" i="2"/>
  <c r="N11" i="2"/>
  <c r="N23" i="2"/>
  <c r="N7" i="2"/>
  <c r="O6" i="2"/>
  <c r="N22" i="2"/>
  <c r="M24" i="2"/>
  <c r="M17" i="2"/>
  <c r="M26" i="2" s="1"/>
  <c r="M27" i="2" s="1"/>
  <c r="M21" i="2"/>
  <c r="N17" i="2" l="1"/>
  <c r="N21" i="2"/>
  <c r="N24" i="2"/>
  <c r="N26" i="2" s="1"/>
  <c r="N27" i="2" s="1"/>
  <c r="M22" i="3"/>
  <c r="M26" i="3"/>
  <c r="O25" i="2"/>
  <c r="O11" i="2"/>
  <c r="O23" i="2"/>
  <c r="O7" i="2"/>
  <c r="O22" i="2"/>
  <c r="P6" i="2"/>
  <c r="Q6" i="3"/>
  <c r="P7" i="3"/>
  <c r="O27" i="3"/>
  <c r="P8" i="3"/>
  <c r="O24" i="3"/>
  <c r="O30" i="3"/>
  <c r="O28" i="3"/>
  <c r="O23" i="3"/>
  <c r="O9" i="3"/>
  <c r="N22" i="3"/>
  <c r="N31" i="3" s="1"/>
  <c r="N32" i="3" s="1"/>
  <c r="N26" i="3"/>
  <c r="O21" i="2" l="1"/>
  <c r="O17" i="2"/>
  <c r="O24" i="2"/>
  <c r="Q8" i="3"/>
  <c r="P30" i="3"/>
  <c r="P28" i="3"/>
  <c r="P27" i="3"/>
  <c r="P23" i="3"/>
  <c r="P24" i="3"/>
  <c r="P9" i="3"/>
  <c r="P10" i="3" s="1"/>
  <c r="O26" i="2"/>
  <c r="O27" i="2" s="1"/>
  <c r="R6" i="3"/>
  <c r="Q7" i="3"/>
  <c r="O10" i="3"/>
  <c r="M31" i="3"/>
  <c r="M32" i="3" s="1"/>
  <c r="P25" i="2"/>
  <c r="P11" i="2"/>
  <c r="P23" i="2"/>
  <c r="P7" i="2"/>
  <c r="P22" i="2"/>
  <c r="Q6" i="2"/>
  <c r="Q11" i="2" l="1"/>
  <c r="Q23" i="2"/>
  <c r="Q7" i="2"/>
  <c r="Q25" i="2"/>
  <c r="R6" i="2"/>
  <c r="Q22" i="2"/>
  <c r="R8" i="3"/>
  <c r="Q30" i="3"/>
  <c r="Q28" i="3"/>
  <c r="Q23" i="3"/>
  <c r="Q9" i="3"/>
  <c r="Q10" i="3" s="1"/>
  <c r="Q27" i="3"/>
  <c r="Q24" i="3"/>
  <c r="O22" i="3"/>
  <c r="O26" i="3"/>
  <c r="P26" i="3"/>
  <c r="P22" i="3"/>
  <c r="P31" i="3" s="1"/>
  <c r="P32" i="3" s="1"/>
  <c r="P17" i="2"/>
  <c r="P26" i="2" s="1"/>
  <c r="P27" i="2" s="1"/>
  <c r="P21" i="2"/>
  <c r="P24" i="2"/>
  <c r="R7" i="3"/>
  <c r="S7" i="3" s="1"/>
  <c r="S6" i="3"/>
  <c r="R30" i="3" l="1"/>
  <c r="S30" i="3" s="1"/>
  <c r="R28" i="3"/>
  <c r="S28" i="3" s="1"/>
  <c r="R23" i="3"/>
  <c r="S23" i="3" s="1"/>
  <c r="R9" i="3"/>
  <c r="R27" i="3"/>
  <c r="S27" i="3" s="1"/>
  <c r="R24" i="3"/>
  <c r="S24" i="3" s="1"/>
  <c r="S8" i="3"/>
  <c r="Q17" i="2"/>
  <c r="Q21" i="2"/>
  <c r="Q24" i="2"/>
  <c r="R23" i="2"/>
  <c r="S23" i="2" s="1"/>
  <c r="R7" i="2"/>
  <c r="R11" i="2"/>
  <c r="R25" i="2"/>
  <c r="S25" i="2" s="1"/>
  <c r="R22" i="2"/>
  <c r="S22" i="2" s="1"/>
  <c r="S6" i="2"/>
  <c r="Q26" i="3"/>
  <c r="Q22" i="3"/>
  <c r="Q31" i="3" s="1"/>
  <c r="Q32" i="3" s="1"/>
  <c r="O31" i="3"/>
  <c r="O32" i="3" s="1"/>
  <c r="Q26" i="2"/>
  <c r="Q27" i="2" s="1"/>
  <c r="R10" i="3" l="1"/>
  <c r="S9" i="3"/>
  <c r="S11" i="2"/>
  <c r="R17" i="2"/>
  <c r="S17" i="2" s="1"/>
  <c r="R24" i="2"/>
  <c r="S24" i="2" s="1"/>
  <c r="R21" i="2"/>
  <c r="S21" i="2" s="1"/>
  <c r="S7" i="2"/>
  <c r="T13" i="2" l="1"/>
  <c r="T14" i="2"/>
  <c r="T19" i="2"/>
  <c r="T16" i="2"/>
  <c r="T18" i="2"/>
  <c r="T12" i="2"/>
  <c r="T9" i="2"/>
  <c r="T15" i="2"/>
  <c r="T10" i="2"/>
  <c r="T21" i="2"/>
  <c r="R26" i="2"/>
  <c r="T24" i="2"/>
  <c r="T17" i="2"/>
  <c r="T11" i="2"/>
  <c r="T25" i="2"/>
  <c r="R26" i="3"/>
  <c r="S26" i="3" s="1"/>
  <c r="R22" i="3"/>
  <c r="S10" i="3"/>
  <c r="T23" i="2"/>
  <c r="T22" i="2"/>
  <c r="S26" i="2" l="1"/>
  <c r="T26" i="2" s="1"/>
  <c r="R27" i="2"/>
  <c r="S27" i="2" s="1"/>
  <c r="T27" i="2" s="1"/>
  <c r="R31" i="3"/>
  <c r="R32" i="3" s="1"/>
  <c r="S22" i="3"/>
  <c r="S31" i="3" s="1"/>
  <c r="S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color theme="1"/>
            <rFont val="Arial"/>
          </rPr>
          <t>Administrator:
Assuming 50 users per day starting in January, growing by 30 per day monthly after that with 60% month to month retention</t>
        </r>
      </text>
    </comment>
    <comment ref="A10" authorId="0" shapeId="0" xr:uid="{00000000-0006-0000-0100-000002000000}">
      <text>
        <r>
          <rPr>
            <sz val="11"/>
            <color theme="1"/>
            <rFont val="Arial"/>
          </rPr>
          <t>Administrator:
Separate from product development &amp; technical labor costs below</t>
        </r>
      </text>
    </comment>
    <comment ref="A12" authorId="0" shapeId="0" xr:uid="{00000000-0006-0000-0100-000003000000}">
      <text>
        <r>
          <rPr>
            <sz val="11"/>
            <color theme="1"/>
            <rFont val="Arial"/>
          </rPr>
          <t>Administrator:
Assuming CPC of $30, conversion rate of 2%, and trying to add 1 users per day for 30 days of month</t>
        </r>
      </text>
    </comment>
    <comment ref="A24" authorId="0" shapeId="0" xr:uid="{00000000-0006-0000-0100-000004000000}">
      <text>
        <r>
          <rPr>
            <sz val="11"/>
            <color theme="1"/>
            <rFont val="Arial"/>
          </rPr>
          <t xml:space="preserve">Administrator:
Assume $50K cost of sales person per year.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200-000001000000}">
      <text>
        <r>
          <rPr>
            <sz val="11"/>
            <color theme="1"/>
            <rFont val="Arial"/>
          </rPr>
          <t>Administrator:
Assuming 50 users per day starting in January, growing by 30 per day monthly after that with 60% month to month retention</t>
        </r>
      </text>
    </comment>
    <comment ref="A8" authorId="0" shapeId="0" xr:uid="{00000000-0006-0000-0200-000002000000}">
      <text>
        <r>
          <rPr>
            <sz val="11"/>
            <color theme="1"/>
            <rFont val="Arial"/>
          </rPr>
          <t>Administrator:
Assuming 50 users per day starting in January, growing by 30 per day monthly after that with 60% month to month retention</t>
        </r>
      </text>
    </comment>
    <comment ref="A14" authorId="0" shapeId="0" xr:uid="{00000000-0006-0000-0200-000003000000}">
      <text>
        <r>
          <rPr>
            <sz val="11"/>
            <color theme="1"/>
            <rFont val="Arial"/>
          </rPr>
          <t>Administrator:
Separate from product development &amp; technical labor costs below</t>
        </r>
      </text>
    </comment>
    <comment ref="A24" authorId="0" shapeId="0" xr:uid="{00000000-0006-0000-0200-000004000000}">
      <text>
        <r>
          <rPr>
            <sz val="11"/>
            <color theme="1"/>
            <rFont val="Arial"/>
          </rPr>
          <t>Administrator:
Assuming CPC of $30, conversion rate of 2%, and trying to add 10 users per day for 30 days of month</t>
        </r>
      </text>
    </comment>
    <comment ref="A29" authorId="0" shapeId="0" xr:uid="{00000000-0006-0000-0200-000005000000}">
      <text>
        <r>
          <rPr>
            <sz val="11"/>
            <color theme="1"/>
            <rFont val="Arial"/>
          </rPr>
          <t xml:space="preserve">Administrator:
Assume $50K cost of sales person per year. </t>
        </r>
      </text>
    </comment>
  </commentList>
</comments>
</file>

<file path=xl/sharedStrings.xml><?xml version="1.0" encoding="utf-8"?>
<sst xmlns="http://schemas.openxmlformats.org/spreadsheetml/2006/main" count="119" uniqueCount="68">
  <si>
    <t>CPC</t>
  </si>
  <si>
    <t>Year</t>
  </si>
  <si>
    <t>YE</t>
  </si>
  <si>
    <t>Percentage</t>
  </si>
  <si>
    <t>Month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</si>
  <si>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</si>
  <si>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</si>
  <si>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</si>
  <si>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</si>
  <si>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</si>
  <si>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</si>
  <si>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</si>
  <si>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</si>
  <si>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</si>
  <si>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</si>
  <si>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</si>
  <si>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</si>
  <si>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REVENUE</t>
  </si>
  <si>
    <t>User Count</t>
  </si>
  <si>
    <t>User Fees</t>
  </si>
  <si>
    <t>EXPENSES</t>
  </si>
  <si>
    <t>Company set-up</t>
  </si>
  <si>
    <t>Product Development</t>
  </si>
  <si>
    <t>Server Cost</t>
  </si>
  <si>
    <t>Marketing Cost</t>
  </si>
  <si>
    <t>Utilities</t>
  </si>
  <si>
    <t>Rent</t>
  </si>
  <si>
    <t>Supplies</t>
  </si>
  <si>
    <t>Insurance</t>
  </si>
  <si>
    <t>Bank Fees</t>
  </si>
  <si>
    <t>Miscellaneous</t>
  </si>
  <si>
    <t>Capital Expenses</t>
  </si>
  <si>
    <t>Labor</t>
  </si>
  <si>
    <t>Management</t>
  </si>
  <si>
    <t>Technical/ Prod. Dev.</t>
  </si>
  <si>
    <t>Customer Service</t>
  </si>
  <si>
    <t>Sales</t>
  </si>
  <si>
    <t>Support</t>
  </si>
  <si>
    <t>Total</t>
  </si>
  <si>
    <t>PROFIT/LOSS</t>
  </si>
  <si>
    <t>Factset2.0</t>
  </si>
  <si>
    <t>Assumptions</t>
  </si>
  <si>
    <t>Starting Users</t>
  </si>
  <si>
    <t>Growth</t>
  </si>
  <si>
    <t>Rentention</t>
  </si>
  <si>
    <t>Mo. Fee</t>
  </si>
  <si>
    <t>C.R.</t>
  </si>
  <si>
    <t>CAC</t>
  </si>
  <si>
    <t>LTCV</t>
  </si>
  <si>
    <t>AirBNB 2.0</t>
  </si>
  <si>
    <t>Host Intial</t>
  </si>
  <si>
    <t>Host Growth</t>
  </si>
  <si>
    <t>Host Fee</t>
  </si>
  <si>
    <t>Traveler Initial</t>
  </si>
  <si>
    <t>Traveler Growth</t>
  </si>
  <si>
    <t>Avg Bk Amt</t>
  </si>
  <si>
    <t>Transaction Fee</t>
  </si>
  <si>
    <t>Retention Rate</t>
  </si>
  <si>
    <t>Actual</t>
  </si>
  <si>
    <t>Host Count</t>
  </si>
  <si>
    <t>Host Fees</t>
  </si>
  <si>
    <t>Traveler Count</t>
  </si>
  <si>
    <t>Traveler Fees</t>
  </si>
  <si>
    <t>Revenue</t>
  </si>
  <si>
    <t>Fixed Costs</t>
  </si>
  <si>
    <t>Variable Costs</t>
  </si>
  <si>
    <t>Variance</t>
  </si>
  <si>
    <t>Act. -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</si>
</sst>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8" x14ac:knownFonts="1">
    <font>
      <sz val="11"/>
      <color theme="1"/>
      <name val="Arial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i/>
      <u/>
      <sz val="11"/>
      <color theme="1"/>
      <name val="Calibri"/>
    </font>
    <font>
      <b/>
      <sz val="11"/>
      <color theme="1"/>
      <name val="Calibri"/>
    </font>
    <font>
      <b/>
      <i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6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2" xfId="0" applyFont="1" applyBorder="1"/>
    <xf numFmtId="3" fontId="3" fillId="0" borderId="0" xfId="0" applyNumberFormat="1" applyFont="1"/>
    <xf numFmtId="3" fontId="3" fillId="0" borderId="1" xfId="0" applyNumberFormat="1" applyFont="1" applyBorder="1"/>
    <xf numFmtId="0" fontId="5" fillId="0" borderId="0" xfId="0" applyFont="1" applyAlignment="1">
      <alignment horizontal="right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6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/>
    <xf numFmtId="9" fontId="3" fillId="2" borderId="13" xfId="0" applyNumberFormat="1" applyFont="1" applyFill="1" applyBorder="1"/>
    <xf numFmtId="6" fontId="3" fillId="2" borderId="14" xfId="0" applyNumberFormat="1" applyFont="1" applyFill="1" applyBorder="1"/>
    <xf numFmtId="0" fontId="4" fillId="3" borderId="7" xfId="0" applyFont="1" applyFill="1" applyBorder="1"/>
    <xf numFmtId="0" fontId="3" fillId="3" borderId="15" xfId="0" applyFont="1" applyFill="1" applyBorder="1"/>
    <xf numFmtId="0" fontId="3" fillId="3" borderId="6" xfId="0" applyFont="1" applyFill="1" applyBorder="1"/>
    <xf numFmtId="0" fontId="3" fillId="3" borderId="4" xfId="0" applyFont="1" applyFill="1" applyBorder="1"/>
    <xf numFmtId="1" fontId="3" fillId="0" borderId="0" xfId="0" applyNumberFormat="1" applyFont="1"/>
    <xf numFmtId="6" fontId="3" fillId="0" borderId="1" xfId="0" applyNumberFormat="1" applyFont="1" applyBorder="1"/>
    <xf numFmtId="165" fontId="3" fillId="0" borderId="0" xfId="0" applyNumberFormat="1" applyFont="1"/>
    <xf numFmtId="165" fontId="3" fillId="0" borderId="1" xfId="0" applyNumberFormat="1" applyFont="1" applyBorder="1"/>
    <xf numFmtId="10" fontId="3" fillId="0" borderId="0" xfId="0" applyNumberFormat="1" applyFont="1"/>
    <xf numFmtId="165" fontId="3" fillId="4" borderId="4" xfId="0" applyNumberFormat="1" applyFont="1" applyFill="1" applyBorder="1"/>
    <xf numFmtId="6" fontId="3" fillId="3" borderId="15" xfId="0" applyNumberFormat="1" applyFont="1" applyFill="1" applyBorder="1"/>
    <xf numFmtId="6" fontId="3" fillId="3" borderId="6" xfId="0" applyNumberFormat="1" applyFont="1" applyFill="1" applyBorder="1"/>
    <xf numFmtId="6" fontId="3" fillId="3" borderId="4" xfId="0" applyNumberFormat="1" applyFont="1" applyFill="1" applyBorder="1"/>
    <xf numFmtId="10" fontId="3" fillId="3" borderId="15" xfId="0" applyNumberFormat="1" applyFont="1" applyFill="1" applyBorder="1"/>
    <xf numFmtId="0" fontId="6" fillId="2" borderId="4" xfId="0" applyFont="1" applyFill="1" applyBorder="1"/>
    <xf numFmtId="0" fontId="3" fillId="2" borderId="4" xfId="0" applyFont="1" applyFill="1" applyBorder="1"/>
    <xf numFmtId="9" fontId="3" fillId="2" borderId="4" xfId="0" applyNumberFormat="1" applyFont="1" applyFill="1" applyBorder="1"/>
    <xf numFmtId="6" fontId="3" fillId="2" borderId="4" xfId="0" applyNumberFormat="1" applyFont="1" applyFill="1" applyBorder="1"/>
    <xf numFmtId="164" fontId="3" fillId="2" borderId="4" xfId="0" applyNumberFormat="1" applyFont="1" applyFill="1" applyBorder="1"/>
    <xf numFmtId="0" fontId="7" fillId="0" borderId="1" xfId="0" applyFont="1" applyBorder="1"/>
    <xf numFmtId="0" fontId="6" fillId="0" borderId="0" xfId="0" applyFont="1"/>
    <xf numFmtId="0" fontId="7" fillId="0" borderId="3" xfId="0" applyFont="1" applyBorder="1"/>
    <xf numFmtId="0" fontId="4" fillId="5" borderId="7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4" fillId="5" borderId="5" xfId="0" applyFont="1" applyFill="1" applyBorder="1"/>
    <xf numFmtId="38" fontId="4" fillId="0" borderId="1" xfId="0" applyNumberFormat="1" applyFont="1" applyBorder="1"/>
    <xf numFmtId="38" fontId="3" fillId="0" borderId="0" xfId="0" applyNumberFormat="1" applyFont="1"/>
    <xf numFmtId="6" fontId="4" fillId="0" borderId="1" xfId="0" applyNumberFormat="1" applyFont="1" applyBorder="1"/>
    <xf numFmtId="0" fontId="3" fillId="0" borderId="18" xfId="0" applyFont="1" applyBorder="1"/>
    <xf numFmtId="6" fontId="3" fillId="0" borderId="18" xfId="0" applyNumberFormat="1" applyFont="1" applyBorder="1"/>
    <xf numFmtId="6" fontId="3" fillId="0" borderId="19" xfId="0" applyNumberFormat="1" applyFont="1" applyBorder="1"/>
    <xf numFmtId="165" fontId="4" fillId="0" borderId="19" xfId="0" applyNumberFormat="1" applyFont="1" applyBorder="1"/>
    <xf numFmtId="165" fontId="3" fillId="0" borderId="18" xfId="0" applyNumberFormat="1" applyFont="1" applyBorder="1"/>
    <xf numFmtId="0" fontId="4" fillId="5" borderId="15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4" fillId="6" borderId="4" xfId="0" applyFont="1" applyFill="1" applyBorder="1" applyAlignment="1">
      <alignment horizontal="right"/>
    </xf>
    <xf numFmtId="0" fontId="3" fillId="6" borderId="4" xfId="0" applyFont="1" applyFill="1" applyBorder="1"/>
    <xf numFmtId="0" fontId="3" fillId="6" borderId="5" xfId="0" applyFont="1" applyFill="1" applyBorder="1"/>
    <xf numFmtId="0" fontId="4" fillId="6" borderId="5" xfId="0" applyFont="1" applyFill="1" applyBorder="1"/>
    <xf numFmtId="165" fontId="4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3" xfId="0" applyNumberFormat="1" applyFont="1" applyBorder="1"/>
    <xf numFmtId="6" fontId="3" fillId="5" borderId="7" xfId="0" applyNumberFormat="1" applyFont="1" applyFill="1" applyBorder="1"/>
    <xf numFmtId="6" fontId="3" fillId="5" borderId="8" xfId="0" applyNumberFormat="1" applyFont="1" applyFill="1" applyBorder="1"/>
    <xf numFmtId="6" fontId="7" fillId="5" borderId="8" xfId="0" applyNumberFormat="1" applyFont="1" applyFill="1" applyBorder="1"/>
    <xf numFmtId="0" fontId="3" fillId="5" borderId="7" xfId="0" applyFont="1" applyFill="1" applyBorder="1"/>
    <xf numFmtId="0" fontId="4" fillId="0" borderId="4" xfId="0" applyFont="1" applyFill="1" applyBorder="1" applyAlignment="1"/>
    <xf numFmtId="3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17" customWidth="1"/>
    <col min="2" max="2" width="10.125" customWidth="1"/>
    <col min="3" max="3" width="11.875" customWidth="1"/>
    <col min="4" max="4" width="8.5" customWidth="1"/>
    <col min="5" max="5" width="11.625" customWidth="1"/>
    <col min="6" max="6" width="8.875" customWidth="1"/>
    <col min="7" max="14" width="8.5" customWidth="1"/>
    <col min="15" max="15" width="9.125" customWidth="1"/>
    <col min="16" max="16" width="8.5" customWidth="1"/>
    <col min="17" max="17" width="8.875" customWidth="1"/>
    <col min="18" max="18" width="8.625" customWidth="1"/>
    <col min="19" max="19" width="10.625" customWidth="1"/>
    <col min="20" max="26" width="7.625" customWidth="1"/>
  </cols>
  <sheetData>
    <row r="1" spans="1:26" ht="14.25" customHeight="1" x14ac:dyDescent="0.25">
      <c r="A1" s="1" t="s">
        <v>40</v>
      </c>
      <c r="B1" s="14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0</v>
      </c>
      <c r="H1" s="15" t="s">
        <v>46</v>
      </c>
      <c r="I1" s="15" t="s">
        <v>47</v>
      </c>
      <c r="J1" s="16" t="s">
        <v>48</v>
      </c>
    </row>
    <row r="2" spans="1:26" ht="14.25" customHeight="1" x14ac:dyDescent="0.25">
      <c r="B2" s="17"/>
      <c r="C2" s="18">
        <v>100</v>
      </c>
      <c r="D2" s="18">
        <v>125</v>
      </c>
      <c r="E2" s="19">
        <v>0.85</v>
      </c>
      <c r="F2" s="20">
        <v>500</v>
      </c>
      <c r="G2" s="21">
        <v>20</v>
      </c>
      <c r="H2" s="22">
        <v>0.03</v>
      </c>
      <c r="I2" s="23">
        <f>G2/H2</f>
        <v>666.66666666666674</v>
      </c>
      <c r="J2" s="23">
        <f>F2/(1-E2)</f>
        <v>3333.333333333333</v>
      </c>
    </row>
    <row r="3" spans="1:26" ht="14.25" customHeight="1" x14ac:dyDescent="0.25">
      <c r="A3" s="4" t="s">
        <v>1</v>
      </c>
      <c r="B3" s="4">
        <v>2020</v>
      </c>
      <c r="C3" s="4">
        <v>2020</v>
      </c>
      <c r="D3" s="4">
        <v>2020</v>
      </c>
      <c r="E3" s="4">
        <v>2020</v>
      </c>
      <c r="F3" s="5">
        <v>2020</v>
      </c>
      <c r="G3" s="4">
        <v>2021</v>
      </c>
      <c r="H3" s="4">
        <v>2021</v>
      </c>
      <c r="I3" s="4">
        <v>2021</v>
      </c>
      <c r="J3" s="4">
        <v>2021</v>
      </c>
      <c r="K3" s="4">
        <v>2021</v>
      </c>
      <c r="L3" s="4">
        <v>2021</v>
      </c>
      <c r="M3" s="4">
        <v>2021</v>
      </c>
      <c r="N3" s="4">
        <v>2021</v>
      </c>
      <c r="O3" s="4">
        <v>2021</v>
      </c>
      <c r="P3" s="4">
        <v>2021</v>
      </c>
      <c r="Q3" s="4">
        <v>2021</v>
      </c>
      <c r="R3" s="4">
        <v>2021</v>
      </c>
      <c r="S3" s="6" t="s">
        <v>2</v>
      </c>
      <c r="T3" s="7" t="s">
        <v>3</v>
      </c>
    </row>
    <row r="4" spans="1:26" ht="14.25" customHeight="1" x14ac:dyDescent="0.25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9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5</v>
      </c>
      <c r="O4" s="8" t="s">
        <v>6</v>
      </c>
      <c r="P4" s="8" t="s">
        <v>7</v>
      </c>
      <c r="Q4" s="8" t="s">
        <v>8</v>
      </c>
      <c r="R4" s="9" t="s">
        <v>9</v>
      </c>
      <c r="S4" s="10"/>
      <c r="T4" s="7"/>
    </row>
    <row r="5" spans="1:26" ht="14.25" customHeight="1" x14ac:dyDescent="0.25">
      <c r="A5" s="24" t="s">
        <v>17</v>
      </c>
      <c r="B5" s="25"/>
      <c r="C5" s="25"/>
      <c r="D5" s="25"/>
      <c r="E5" s="25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7"/>
      <c r="V5" s="27"/>
      <c r="W5" s="27"/>
      <c r="X5" s="27"/>
      <c r="Y5" s="27"/>
      <c r="Z5" s="27"/>
    </row>
    <row r="6" spans="1:26" ht="14.25" customHeight="1" x14ac:dyDescent="0.25">
      <c r="A6" s="6" t="s">
        <v>18</v>
      </c>
      <c r="B6" s="2">
        <f>C2</f>
        <v>100</v>
      </c>
      <c r="C6" s="28">
        <f t="shared" ref="C6:R6" si="0">(B6+$D$2)-((100%-$E$2)*B6)</f>
        <v>210</v>
      </c>
      <c r="D6" s="28">
        <f t="shared" si="0"/>
        <v>303.5</v>
      </c>
      <c r="E6" s="28">
        <f t="shared" si="0"/>
        <v>382.97500000000002</v>
      </c>
      <c r="F6" s="28">
        <f t="shared" si="0"/>
        <v>450.52875</v>
      </c>
      <c r="G6" s="28">
        <f t="shared" si="0"/>
        <v>507.94943749999993</v>
      </c>
      <c r="H6" s="28">
        <f t="shared" si="0"/>
        <v>556.75702187499996</v>
      </c>
      <c r="I6" s="28">
        <f t="shared" si="0"/>
        <v>598.24346859374998</v>
      </c>
      <c r="J6" s="28">
        <f t="shared" si="0"/>
        <v>633.50694830468751</v>
      </c>
      <c r="K6" s="28">
        <f t="shared" si="0"/>
        <v>663.48090605898437</v>
      </c>
      <c r="L6" s="28">
        <f t="shared" si="0"/>
        <v>688.95877015013673</v>
      </c>
      <c r="M6" s="28">
        <f t="shared" si="0"/>
        <v>710.61495462761616</v>
      </c>
      <c r="N6" s="28">
        <f t="shared" si="0"/>
        <v>729.02271143347366</v>
      </c>
      <c r="O6" s="28">
        <f t="shared" si="0"/>
        <v>744.66930471845262</v>
      </c>
      <c r="P6" s="28">
        <f t="shared" si="0"/>
        <v>757.96890901068468</v>
      </c>
      <c r="Q6" s="28">
        <f t="shared" si="0"/>
        <v>769.27357265908199</v>
      </c>
      <c r="R6" s="28">
        <f t="shared" si="0"/>
        <v>778.88253676021964</v>
      </c>
      <c r="S6" s="11">
        <f t="shared" ref="S6:S7" si="1">SUM(G6:R6)</f>
        <v>8139.3285416920871</v>
      </c>
    </row>
    <row r="7" spans="1:26" ht="14.25" customHeight="1" x14ac:dyDescent="0.25">
      <c r="A7" s="6" t="s">
        <v>19</v>
      </c>
      <c r="B7" s="3">
        <f t="shared" ref="B7:R7" si="2">B6*$F$2</f>
        <v>50000</v>
      </c>
      <c r="C7" s="3">
        <f t="shared" si="2"/>
        <v>105000</v>
      </c>
      <c r="D7" s="3">
        <f t="shared" si="2"/>
        <v>151750</v>
      </c>
      <c r="E7" s="3">
        <f t="shared" si="2"/>
        <v>191487.5</v>
      </c>
      <c r="F7" s="29">
        <f t="shared" si="2"/>
        <v>225264.375</v>
      </c>
      <c r="G7" s="3">
        <f t="shared" si="2"/>
        <v>253974.71874999997</v>
      </c>
      <c r="H7" s="3">
        <f t="shared" si="2"/>
        <v>278378.51093749999</v>
      </c>
      <c r="I7" s="3">
        <f t="shared" si="2"/>
        <v>299121.73429687502</v>
      </c>
      <c r="J7" s="3">
        <f t="shared" si="2"/>
        <v>316753.47415234376</v>
      </c>
      <c r="K7" s="3">
        <f t="shared" si="2"/>
        <v>331740.45302949217</v>
      </c>
      <c r="L7" s="3">
        <f t="shared" si="2"/>
        <v>344479.38507506839</v>
      </c>
      <c r="M7" s="3">
        <f t="shared" si="2"/>
        <v>355307.47731380811</v>
      </c>
      <c r="N7" s="3">
        <f t="shared" si="2"/>
        <v>364511.35571673681</v>
      </c>
      <c r="O7" s="3">
        <f t="shared" si="2"/>
        <v>372334.65235922631</v>
      </c>
      <c r="P7" s="3">
        <f t="shared" si="2"/>
        <v>378984.45450534235</v>
      </c>
      <c r="Q7" s="3">
        <f t="shared" si="2"/>
        <v>384636.78632954101</v>
      </c>
      <c r="R7" s="3">
        <f t="shared" si="2"/>
        <v>389441.2683801098</v>
      </c>
      <c r="S7" s="30">
        <f t="shared" si="1"/>
        <v>4069664.2708460437</v>
      </c>
    </row>
    <row r="8" spans="1:26" ht="14.25" customHeight="1" x14ac:dyDescent="0.25">
      <c r="A8" s="24" t="s">
        <v>20</v>
      </c>
      <c r="B8" s="25"/>
      <c r="C8" s="25"/>
      <c r="D8" s="25"/>
      <c r="E8" s="25"/>
      <c r="F8" s="2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7"/>
      <c r="V8" s="27"/>
      <c r="W8" s="27"/>
      <c r="X8" s="27"/>
      <c r="Y8" s="27"/>
      <c r="Z8" s="27"/>
    </row>
    <row r="9" spans="1:26" ht="14.25" customHeight="1" x14ac:dyDescent="0.25">
      <c r="A9" s="2" t="s">
        <v>21</v>
      </c>
      <c r="B9" s="30">
        <v>15000</v>
      </c>
      <c r="C9" s="30">
        <f t="shared" ref="C9:E9" si="3">B9-5000</f>
        <v>10000</v>
      </c>
      <c r="D9" s="30">
        <f t="shared" si="3"/>
        <v>5000</v>
      </c>
      <c r="E9" s="30">
        <f t="shared" si="3"/>
        <v>0</v>
      </c>
      <c r="F9" s="31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f t="shared" ref="S9:S19" si="4">SUM(G9:R9)</f>
        <v>0</v>
      </c>
      <c r="T9" s="32">
        <f t="shared" ref="T9:T19" si="5">S9/$S$7</f>
        <v>0</v>
      </c>
    </row>
    <row r="10" spans="1:26" ht="14.25" customHeight="1" x14ac:dyDescent="0.25">
      <c r="A10" s="2" t="s">
        <v>22</v>
      </c>
      <c r="B10" s="30">
        <v>150000</v>
      </c>
      <c r="C10" s="30">
        <v>100000</v>
      </c>
      <c r="D10" s="30">
        <v>50000</v>
      </c>
      <c r="E10" s="30">
        <v>0</v>
      </c>
      <c r="F10" s="31">
        <v>0</v>
      </c>
      <c r="G10" s="33">
        <v>15000</v>
      </c>
      <c r="H10" s="30">
        <v>15000</v>
      </c>
      <c r="I10" s="30">
        <v>15000</v>
      </c>
      <c r="J10" s="30">
        <v>15000</v>
      </c>
      <c r="K10" s="30">
        <v>15000</v>
      </c>
      <c r="L10" s="30">
        <v>15000</v>
      </c>
      <c r="M10" s="30">
        <v>15000</v>
      </c>
      <c r="N10" s="30">
        <v>15000</v>
      </c>
      <c r="O10" s="30">
        <v>15000</v>
      </c>
      <c r="P10" s="30">
        <v>15000</v>
      </c>
      <c r="Q10" s="30">
        <v>15000</v>
      </c>
      <c r="R10" s="30">
        <v>15000</v>
      </c>
      <c r="S10" s="30">
        <f t="shared" si="4"/>
        <v>180000</v>
      </c>
      <c r="T10" s="32">
        <f t="shared" si="5"/>
        <v>4.4229692677469866E-2</v>
      </c>
    </row>
    <row r="11" spans="1:26" ht="14.25" customHeight="1" x14ac:dyDescent="0.25">
      <c r="A11" s="2" t="s">
        <v>23</v>
      </c>
      <c r="B11" s="30">
        <f t="shared" ref="B11:R11" si="6">MAX(B6*50,5000)</f>
        <v>5000</v>
      </c>
      <c r="C11" s="30">
        <f t="shared" si="6"/>
        <v>10500</v>
      </c>
      <c r="D11" s="30">
        <f t="shared" si="6"/>
        <v>15175</v>
      </c>
      <c r="E11" s="30">
        <f t="shared" si="6"/>
        <v>19148.75</v>
      </c>
      <c r="F11" s="31">
        <f t="shared" si="6"/>
        <v>22526.4375</v>
      </c>
      <c r="G11" s="30">
        <f t="shared" si="6"/>
        <v>25397.471874999996</v>
      </c>
      <c r="H11" s="30">
        <f t="shared" si="6"/>
        <v>27837.85109375</v>
      </c>
      <c r="I11" s="30">
        <f t="shared" si="6"/>
        <v>29912.1734296875</v>
      </c>
      <c r="J11" s="30">
        <f t="shared" si="6"/>
        <v>31675.347415234377</v>
      </c>
      <c r="K11" s="30">
        <f t="shared" si="6"/>
        <v>33174.04530294922</v>
      </c>
      <c r="L11" s="30">
        <f t="shared" si="6"/>
        <v>34447.938507506835</v>
      </c>
      <c r="M11" s="30">
        <f t="shared" si="6"/>
        <v>35530.747731380805</v>
      </c>
      <c r="N11" s="30">
        <f t="shared" si="6"/>
        <v>36451.13557167368</v>
      </c>
      <c r="O11" s="30">
        <f t="shared" si="6"/>
        <v>37233.465235922631</v>
      </c>
      <c r="P11" s="30">
        <f t="shared" si="6"/>
        <v>37898.445450534236</v>
      </c>
      <c r="Q11" s="30">
        <f t="shared" si="6"/>
        <v>38463.678632954099</v>
      </c>
      <c r="R11" s="30">
        <f t="shared" si="6"/>
        <v>38944.126838010983</v>
      </c>
      <c r="S11" s="30">
        <f t="shared" si="4"/>
        <v>406966.42708460434</v>
      </c>
      <c r="T11" s="32">
        <f t="shared" si="5"/>
        <v>9.9999999999999992E-2</v>
      </c>
    </row>
    <row r="12" spans="1:26" ht="14.25" customHeight="1" x14ac:dyDescent="0.25">
      <c r="A12" s="2" t="s">
        <v>24</v>
      </c>
      <c r="B12" s="30">
        <f t="shared" ref="B12:R12" si="7">30*($G$2/$H$2)</f>
        <v>20000.000000000004</v>
      </c>
      <c r="C12" s="30">
        <f t="shared" si="7"/>
        <v>20000.000000000004</v>
      </c>
      <c r="D12" s="30">
        <f t="shared" si="7"/>
        <v>20000.000000000004</v>
      </c>
      <c r="E12" s="30">
        <f t="shared" si="7"/>
        <v>20000.000000000004</v>
      </c>
      <c r="F12" s="31">
        <f t="shared" si="7"/>
        <v>20000.000000000004</v>
      </c>
      <c r="G12" s="30">
        <f t="shared" si="7"/>
        <v>20000.000000000004</v>
      </c>
      <c r="H12" s="30">
        <f t="shared" si="7"/>
        <v>20000.000000000004</v>
      </c>
      <c r="I12" s="30">
        <f t="shared" si="7"/>
        <v>20000.000000000004</v>
      </c>
      <c r="J12" s="30">
        <f t="shared" si="7"/>
        <v>20000.000000000004</v>
      </c>
      <c r="K12" s="30">
        <f t="shared" si="7"/>
        <v>20000.000000000004</v>
      </c>
      <c r="L12" s="30">
        <f t="shared" si="7"/>
        <v>20000.000000000004</v>
      </c>
      <c r="M12" s="30">
        <f t="shared" si="7"/>
        <v>20000.000000000004</v>
      </c>
      <c r="N12" s="30">
        <f t="shared" si="7"/>
        <v>20000.000000000004</v>
      </c>
      <c r="O12" s="30">
        <f t="shared" si="7"/>
        <v>20000.000000000004</v>
      </c>
      <c r="P12" s="30">
        <f t="shared" si="7"/>
        <v>20000.000000000004</v>
      </c>
      <c r="Q12" s="30">
        <f t="shared" si="7"/>
        <v>20000.000000000004</v>
      </c>
      <c r="R12" s="30">
        <f t="shared" si="7"/>
        <v>20000.000000000004</v>
      </c>
      <c r="S12" s="30">
        <f t="shared" si="4"/>
        <v>240000.00000000003</v>
      </c>
      <c r="T12" s="32">
        <f t="shared" si="5"/>
        <v>5.8972923569959826E-2</v>
      </c>
    </row>
    <row r="13" spans="1:26" ht="14.25" customHeight="1" x14ac:dyDescent="0.25">
      <c r="A13" s="2" t="s">
        <v>25</v>
      </c>
      <c r="B13" s="30">
        <v>2500</v>
      </c>
      <c r="C13" s="30">
        <v>2500</v>
      </c>
      <c r="D13" s="30">
        <v>2500</v>
      </c>
      <c r="E13" s="30">
        <v>2500</v>
      </c>
      <c r="F13" s="31">
        <v>2500</v>
      </c>
      <c r="G13" s="33">
        <v>2500</v>
      </c>
      <c r="H13" s="30">
        <v>2500</v>
      </c>
      <c r="I13" s="30">
        <v>2500</v>
      </c>
      <c r="J13" s="30">
        <v>2500</v>
      </c>
      <c r="K13" s="30">
        <v>2500</v>
      </c>
      <c r="L13" s="30">
        <v>2500</v>
      </c>
      <c r="M13" s="30">
        <v>2500</v>
      </c>
      <c r="N13" s="30">
        <v>2500</v>
      </c>
      <c r="O13" s="30">
        <v>2500</v>
      </c>
      <c r="P13" s="30">
        <v>2500</v>
      </c>
      <c r="Q13" s="30">
        <v>2500</v>
      </c>
      <c r="R13" s="30">
        <v>2500</v>
      </c>
      <c r="S13" s="30">
        <f t="shared" si="4"/>
        <v>30000</v>
      </c>
      <c r="T13" s="32">
        <f t="shared" si="5"/>
        <v>7.3716154462449774E-3</v>
      </c>
    </row>
    <row r="14" spans="1:26" ht="14.25" customHeight="1" x14ac:dyDescent="0.25">
      <c r="A14" s="2" t="s">
        <v>26</v>
      </c>
      <c r="B14" s="30">
        <v>5000</v>
      </c>
      <c r="C14" s="30">
        <v>5000</v>
      </c>
      <c r="D14" s="30">
        <v>5000</v>
      </c>
      <c r="E14" s="30">
        <v>5000</v>
      </c>
      <c r="F14" s="31">
        <v>5000</v>
      </c>
      <c r="G14" s="33">
        <v>5000</v>
      </c>
      <c r="H14" s="30">
        <v>5000</v>
      </c>
      <c r="I14" s="30">
        <v>5000</v>
      </c>
      <c r="J14" s="30">
        <v>5000</v>
      </c>
      <c r="K14" s="30">
        <v>5000</v>
      </c>
      <c r="L14" s="30">
        <v>5000</v>
      </c>
      <c r="M14" s="30">
        <v>5000</v>
      </c>
      <c r="N14" s="30">
        <v>5000</v>
      </c>
      <c r="O14" s="30">
        <v>5000</v>
      </c>
      <c r="P14" s="30">
        <v>5000</v>
      </c>
      <c r="Q14" s="30">
        <v>5000</v>
      </c>
      <c r="R14" s="30">
        <v>5000</v>
      </c>
      <c r="S14" s="30">
        <f t="shared" si="4"/>
        <v>60000</v>
      </c>
      <c r="T14" s="32">
        <f t="shared" si="5"/>
        <v>1.4743230892489955E-2</v>
      </c>
    </row>
    <row r="15" spans="1:26" ht="14.25" customHeight="1" x14ac:dyDescent="0.25">
      <c r="A15" s="2" t="s">
        <v>27</v>
      </c>
      <c r="B15" s="30">
        <v>1000</v>
      </c>
      <c r="C15" s="30">
        <v>1000</v>
      </c>
      <c r="D15" s="30">
        <v>1000</v>
      </c>
      <c r="E15" s="30">
        <v>1000</v>
      </c>
      <c r="F15" s="31">
        <v>1000</v>
      </c>
      <c r="G15" s="33">
        <v>1000</v>
      </c>
      <c r="H15" s="30">
        <v>1000</v>
      </c>
      <c r="I15" s="30">
        <v>1000</v>
      </c>
      <c r="J15" s="30">
        <v>1000</v>
      </c>
      <c r="K15" s="30">
        <v>1000</v>
      </c>
      <c r="L15" s="30">
        <v>1000</v>
      </c>
      <c r="M15" s="30">
        <v>1000</v>
      </c>
      <c r="N15" s="30">
        <v>1000</v>
      </c>
      <c r="O15" s="30">
        <v>1000</v>
      </c>
      <c r="P15" s="30">
        <v>1000</v>
      </c>
      <c r="Q15" s="30">
        <v>1000</v>
      </c>
      <c r="R15" s="30">
        <v>1000</v>
      </c>
      <c r="S15" s="30">
        <f t="shared" si="4"/>
        <v>12000</v>
      </c>
      <c r="T15" s="32">
        <f t="shared" si="5"/>
        <v>2.9486461784979912E-3</v>
      </c>
    </row>
    <row r="16" spans="1:26" ht="14.25" customHeight="1" x14ac:dyDescent="0.25">
      <c r="A16" s="2" t="s">
        <v>28</v>
      </c>
      <c r="B16" s="30">
        <v>1000</v>
      </c>
      <c r="C16" s="30">
        <v>1000</v>
      </c>
      <c r="D16" s="30">
        <v>1000</v>
      </c>
      <c r="E16" s="30">
        <v>1000</v>
      </c>
      <c r="F16" s="31">
        <v>1000</v>
      </c>
      <c r="G16" s="33">
        <v>1000</v>
      </c>
      <c r="H16" s="30">
        <v>1000</v>
      </c>
      <c r="I16" s="30">
        <v>1000</v>
      </c>
      <c r="J16" s="30">
        <v>1000</v>
      </c>
      <c r="K16" s="30">
        <v>1000</v>
      </c>
      <c r="L16" s="30">
        <v>1000</v>
      </c>
      <c r="M16" s="30">
        <v>1000</v>
      </c>
      <c r="N16" s="30">
        <v>1000</v>
      </c>
      <c r="O16" s="30">
        <v>1000</v>
      </c>
      <c r="P16" s="30">
        <v>1000</v>
      </c>
      <c r="Q16" s="30">
        <v>1000</v>
      </c>
      <c r="R16" s="30">
        <v>1000</v>
      </c>
      <c r="S16" s="30">
        <f t="shared" si="4"/>
        <v>12000</v>
      </c>
      <c r="T16" s="32">
        <f t="shared" si="5"/>
        <v>2.9486461784979912E-3</v>
      </c>
    </row>
    <row r="17" spans="1:26" ht="14.25" customHeight="1" x14ac:dyDescent="0.25">
      <c r="A17" s="2" t="s">
        <v>29</v>
      </c>
      <c r="B17" s="30">
        <f t="shared" ref="B17:R17" si="8">0.03*B7</f>
        <v>1500</v>
      </c>
      <c r="C17" s="30">
        <f t="shared" si="8"/>
        <v>3150</v>
      </c>
      <c r="D17" s="30">
        <f t="shared" si="8"/>
        <v>4552.5</v>
      </c>
      <c r="E17" s="30">
        <f t="shared" si="8"/>
        <v>5744.625</v>
      </c>
      <c r="F17" s="31">
        <f t="shared" si="8"/>
        <v>6757.9312499999996</v>
      </c>
      <c r="G17" s="30">
        <f t="shared" si="8"/>
        <v>7619.2415624999985</v>
      </c>
      <c r="H17" s="30">
        <f t="shared" si="8"/>
        <v>8351.3553281249988</v>
      </c>
      <c r="I17" s="30">
        <f t="shared" si="8"/>
        <v>8973.6520289062501</v>
      </c>
      <c r="J17" s="30">
        <f t="shared" si="8"/>
        <v>9502.604224570312</v>
      </c>
      <c r="K17" s="30">
        <f t="shared" si="8"/>
        <v>9952.2135908847649</v>
      </c>
      <c r="L17" s="30">
        <f t="shared" si="8"/>
        <v>10334.381552252051</v>
      </c>
      <c r="M17" s="30">
        <f t="shared" si="8"/>
        <v>10659.224319414243</v>
      </c>
      <c r="N17" s="30">
        <f t="shared" si="8"/>
        <v>10935.340671502105</v>
      </c>
      <c r="O17" s="30">
        <f t="shared" si="8"/>
        <v>11170.039570776789</v>
      </c>
      <c r="P17" s="30">
        <f t="shared" si="8"/>
        <v>11369.533635160271</v>
      </c>
      <c r="Q17" s="30">
        <f t="shared" si="8"/>
        <v>11539.10358988623</v>
      </c>
      <c r="R17" s="30">
        <f t="shared" si="8"/>
        <v>11683.238051403294</v>
      </c>
      <c r="S17" s="30">
        <f t="shared" si="4"/>
        <v>122089.92812538131</v>
      </c>
      <c r="T17" s="32">
        <f t="shared" si="5"/>
        <v>0.03</v>
      </c>
    </row>
    <row r="18" spans="1:26" ht="14.25" customHeight="1" x14ac:dyDescent="0.25">
      <c r="A18" s="2" t="s">
        <v>30</v>
      </c>
      <c r="B18" s="30">
        <v>1000</v>
      </c>
      <c r="C18" s="30">
        <v>1000</v>
      </c>
      <c r="D18" s="30">
        <v>1000</v>
      </c>
      <c r="E18" s="30">
        <v>1000</v>
      </c>
      <c r="F18" s="30">
        <v>1000</v>
      </c>
      <c r="G18" s="33">
        <v>1000</v>
      </c>
      <c r="H18" s="30">
        <v>1000</v>
      </c>
      <c r="I18" s="30">
        <v>1000</v>
      </c>
      <c r="J18" s="30">
        <v>1000</v>
      </c>
      <c r="K18" s="30">
        <v>1000</v>
      </c>
      <c r="L18" s="30">
        <v>1000</v>
      </c>
      <c r="M18" s="30">
        <v>1000</v>
      </c>
      <c r="N18" s="30">
        <v>1000</v>
      </c>
      <c r="O18" s="30">
        <v>1000</v>
      </c>
      <c r="P18" s="30">
        <v>1000</v>
      </c>
      <c r="Q18" s="30">
        <v>1000</v>
      </c>
      <c r="R18" s="30">
        <v>1000</v>
      </c>
      <c r="S18" s="30">
        <f t="shared" si="4"/>
        <v>12000</v>
      </c>
      <c r="T18" s="32">
        <f t="shared" si="5"/>
        <v>2.9486461784979912E-3</v>
      </c>
    </row>
    <row r="19" spans="1:26" ht="14.25" customHeight="1" x14ac:dyDescent="0.25">
      <c r="A19" s="2" t="s">
        <v>31</v>
      </c>
      <c r="B19" s="30">
        <v>25000</v>
      </c>
      <c r="C19" s="30">
        <v>25000</v>
      </c>
      <c r="D19" s="30">
        <v>25000</v>
      </c>
      <c r="E19" s="30">
        <v>25000</v>
      </c>
      <c r="F19" s="31">
        <v>25000</v>
      </c>
      <c r="G19" s="33">
        <v>5000</v>
      </c>
      <c r="H19" s="30">
        <v>5000</v>
      </c>
      <c r="I19" s="30">
        <v>5000</v>
      </c>
      <c r="J19" s="30">
        <v>5000</v>
      </c>
      <c r="K19" s="30">
        <v>5000</v>
      </c>
      <c r="L19" s="30">
        <v>5000</v>
      </c>
      <c r="M19" s="30">
        <v>5000</v>
      </c>
      <c r="N19" s="30">
        <v>5000</v>
      </c>
      <c r="O19" s="30">
        <v>5000</v>
      </c>
      <c r="P19" s="30">
        <v>5000</v>
      </c>
      <c r="Q19" s="30">
        <v>5000</v>
      </c>
      <c r="R19" s="30">
        <v>5000</v>
      </c>
      <c r="S19" s="30">
        <f t="shared" si="4"/>
        <v>60000</v>
      </c>
      <c r="T19" s="32">
        <f t="shared" si="5"/>
        <v>1.4743230892489955E-2</v>
      </c>
    </row>
    <row r="20" spans="1:26" ht="14.25" customHeight="1" x14ac:dyDescent="0.25">
      <c r="A20" s="13" t="s">
        <v>32</v>
      </c>
      <c r="B20" s="30"/>
      <c r="C20" s="30"/>
      <c r="D20" s="30"/>
      <c r="E20" s="30"/>
      <c r="F20" s="3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T20" s="32"/>
    </row>
    <row r="21" spans="1:26" ht="14.25" customHeight="1" x14ac:dyDescent="0.25">
      <c r="A21" s="2" t="s">
        <v>33</v>
      </c>
      <c r="B21" s="30">
        <f t="shared" ref="B21:R21" si="9">6000+0.03*B7</f>
        <v>7500</v>
      </c>
      <c r="C21" s="30">
        <f t="shared" si="9"/>
        <v>9150</v>
      </c>
      <c r="D21" s="30">
        <f t="shared" si="9"/>
        <v>10552.5</v>
      </c>
      <c r="E21" s="30">
        <f t="shared" si="9"/>
        <v>11744.625</v>
      </c>
      <c r="F21" s="31">
        <f t="shared" si="9"/>
        <v>12757.93125</v>
      </c>
      <c r="G21" s="30">
        <f t="shared" si="9"/>
        <v>13619.241562499999</v>
      </c>
      <c r="H21" s="30">
        <f t="shared" si="9"/>
        <v>14351.355328124999</v>
      </c>
      <c r="I21" s="30">
        <f t="shared" si="9"/>
        <v>14973.65202890625</v>
      </c>
      <c r="J21" s="30">
        <f t="shared" si="9"/>
        <v>15502.604224570312</v>
      </c>
      <c r="K21" s="30">
        <f t="shared" si="9"/>
        <v>15952.213590884765</v>
      </c>
      <c r="L21" s="30">
        <f t="shared" si="9"/>
        <v>16334.381552252051</v>
      </c>
      <c r="M21" s="30">
        <f t="shared" si="9"/>
        <v>16659.224319414243</v>
      </c>
      <c r="N21" s="30">
        <f t="shared" si="9"/>
        <v>16935.340671502105</v>
      </c>
      <c r="O21" s="30">
        <f t="shared" si="9"/>
        <v>17170.039570776789</v>
      </c>
      <c r="P21" s="30">
        <f t="shared" si="9"/>
        <v>17369.533635160271</v>
      </c>
      <c r="Q21" s="30">
        <f t="shared" si="9"/>
        <v>17539.103589886232</v>
      </c>
      <c r="R21" s="30">
        <f t="shared" si="9"/>
        <v>17683.238051403292</v>
      </c>
      <c r="S21" s="30">
        <f t="shared" ref="S21:S27" si="10">SUM(G21:R21)</f>
        <v>194089.92812538132</v>
      </c>
      <c r="T21" s="32">
        <f t="shared" ref="T21:T26" si="11">S21/$S$7</f>
        <v>4.7691877070987952E-2</v>
      </c>
    </row>
    <row r="22" spans="1:26" ht="14.25" customHeight="1" x14ac:dyDescent="0.25">
      <c r="A22" s="2" t="s">
        <v>34</v>
      </c>
      <c r="B22" s="30">
        <f t="shared" ref="B22:F22" si="12">(4000*ROUNDUP((B6/25),0))</f>
        <v>16000</v>
      </c>
      <c r="C22" s="30">
        <f t="shared" si="12"/>
        <v>36000</v>
      </c>
      <c r="D22" s="30">
        <f t="shared" si="12"/>
        <v>52000</v>
      </c>
      <c r="E22" s="30">
        <f t="shared" si="12"/>
        <v>64000</v>
      </c>
      <c r="F22" s="31">
        <f t="shared" si="12"/>
        <v>76000</v>
      </c>
      <c r="G22" s="30">
        <f t="shared" ref="G22:R22" si="13">(4000*ROUNDUP((G6/50),0))</f>
        <v>44000</v>
      </c>
      <c r="H22" s="30">
        <f t="shared" si="13"/>
        <v>48000</v>
      </c>
      <c r="I22" s="30">
        <f t="shared" si="13"/>
        <v>48000</v>
      </c>
      <c r="J22" s="30">
        <f t="shared" si="13"/>
        <v>52000</v>
      </c>
      <c r="K22" s="30">
        <f t="shared" si="13"/>
        <v>56000</v>
      </c>
      <c r="L22" s="30">
        <f t="shared" si="13"/>
        <v>56000</v>
      </c>
      <c r="M22" s="30">
        <f t="shared" si="13"/>
        <v>60000</v>
      </c>
      <c r="N22" s="30">
        <f t="shared" si="13"/>
        <v>60000</v>
      </c>
      <c r="O22" s="30">
        <f t="shared" si="13"/>
        <v>60000</v>
      </c>
      <c r="P22" s="30">
        <f t="shared" si="13"/>
        <v>64000</v>
      </c>
      <c r="Q22" s="30">
        <f t="shared" si="13"/>
        <v>64000</v>
      </c>
      <c r="R22" s="30">
        <f t="shared" si="13"/>
        <v>64000</v>
      </c>
      <c r="S22" s="30">
        <f t="shared" si="10"/>
        <v>676000</v>
      </c>
      <c r="T22" s="32">
        <f t="shared" si="11"/>
        <v>0.16610706805538683</v>
      </c>
    </row>
    <row r="23" spans="1:26" ht="14.25" customHeight="1" x14ac:dyDescent="0.25">
      <c r="A23" s="2" t="s">
        <v>35</v>
      </c>
      <c r="B23" s="30">
        <f t="shared" ref="B23:F23" si="14">(3000*ROUNDUP((B6/25),0))</f>
        <v>12000</v>
      </c>
      <c r="C23" s="30">
        <f t="shared" si="14"/>
        <v>27000</v>
      </c>
      <c r="D23" s="30">
        <f t="shared" si="14"/>
        <v>39000</v>
      </c>
      <c r="E23" s="30">
        <f t="shared" si="14"/>
        <v>48000</v>
      </c>
      <c r="F23" s="31">
        <f t="shared" si="14"/>
        <v>57000</v>
      </c>
      <c r="G23" s="30">
        <f t="shared" ref="G23:R23" si="15">(3000*ROUNDUP((G6/50),0))</f>
        <v>33000</v>
      </c>
      <c r="H23" s="30">
        <f t="shared" si="15"/>
        <v>36000</v>
      </c>
      <c r="I23" s="30">
        <f t="shared" si="15"/>
        <v>36000</v>
      </c>
      <c r="J23" s="30">
        <f t="shared" si="15"/>
        <v>39000</v>
      </c>
      <c r="K23" s="30">
        <f t="shared" si="15"/>
        <v>42000</v>
      </c>
      <c r="L23" s="30">
        <f t="shared" si="15"/>
        <v>42000</v>
      </c>
      <c r="M23" s="30">
        <f t="shared" si="15"/>
        <v>45000</v>
      </c>
      <c r="N23" s="30">
        <f t="shared" si="15"/>
        <v>45000</v>
      </c>
      <c r="O23" s="30">
        <f t="shared" si="15"/>
        <v>45000</v>
      </c>
      <c r="P23" s="30">
        <f t="shared" si="15"/>
        <v>48000</v>
      </c>
      <c r="Q23" s="30">
        <f t="shared" si="15"/>
        <v>48000</v>
      </c>
      <c r="R23" s="30">
        <f t="shared" si="15"/>
        <v>48000</v>
      </c>
      <c r="S23" s="30">
        <f t="shared" si="10"/>
        <v>507000</v>
      </c>
      <c r="T23" s="32">
        <f t="shared" si="11"/>
        <v>0.12458030104154012</v>
      </c>
    </row>
    <row r="24" spans="1:26" ht="14.25" customHeight="1" x14ac:dyDescent="0.25">
      <c r="A24" s="2" t="s">
        <v>36</v>
      </c>
      <c r="B24" s="30">
        <f t="shared" ref="B24:E24" si="16">((2000+(0.05*B7))*ROUNDUP(($D$2/25),0))</f>
        <v>22500</v>
      </c>
      <c r="C24" s="30">
        <f t="shared" si="16"/>
        <v>36250</v>
      </c>
      <c r="D24" s="30">
        <f t="shared" si="16"/>
        <v>47937.5</v>
      </c>
      <c r="E24" s="30">
        <f t="shared" si="16"/>
        <v>57871.875</v>
      </c>
      <c r="F24" s="31">
        <f>((2000+(0.05*F7))*ROUNDUP((D2/25),0))</f>
        <v>66316.09375</v>
      </c>
      <c r="G24" s="30">
        <f t="shared" ref="G24:R24" si="17">((2000+(0.05*G7))*ROUNDUP(($D$2/50),0))</f>
        <v>44096.207812499997</v>
      </c>
      <c r="H24" s="30">
        <f t="shared" si="17"/>
        <v>47756.776640625001</v>
      </c>
      <c r="I24" s="30">
        <f t="shared" si="17"/>
        <v>50868.260144531261</v>
      </c>
      <c r="J24" s="30">
        <f t="shared" si="17"/>
        <v>53513.021122851569</v>
      </c>
      <c r="K24" s="30">
        <f t="shared" si="17"/>
        <v>55761.06795442383</v>
      </c>
      <c r="L24" s="30">
        <f t="shared" si="17"/>
        <v>57671.907761260263</v>
      </c>
      <c r="M24" s="30">
        <f t="shared" si="17"/>
        <v>59296.121597071222</v>
      </c>
      <c r="N24" s="30">
        <f t="shared" si="17"/>
        <v>60676.703357510516</v>
      </c>
      <c r="O24" s="30">
        <f t="shared" si="17"/>
        <v>61850.197853883947</v>
      </c>
      <c r="P24" s="30">
        <f t="shared" si="17"/>
        <v>62847.668175801358</v>
      </c>
      <c r="Q24" s="30">
        <f t="shared" si="17"/>
        <v>63695.517949431145</v>
      </c>
      <c r="R24" s="30">
        <f t="shared" si="17"/>
        <v>64416.190257016475</v>
      </c>
      <c r="S24" s="30">
        <f t="shared" si="10"/>
        <v>682449.64062690653</v>
      </c>
      <c r="T24" s="32">
        <f t="shared" si="11"/>
        <v>0.16769187707098793</v>
      </c>
    </row>
    <row r="25" spans="1:26" ht="14.25" customHeight="1" x14ac:dyDescent="0.25">
      <c r="A25" s="2" t="s">
        <v>37</v>
      </c>
      <c r="B25" s="30">
        <f t="shared" ref="B25:F25" si="18">(3000*ROUNDUP((B6/25),0))</f>
        <v>12000</v>
      </c>
      <c r="C25" s="30">
        <f t="shared" si="18"/>
        <v>27000</v>
      </c>
      <c r="D25" s="30">
        <f t="shared" si="18"/>
        <v>39000</v>
      </c>
      <c r="E25" s="30">
        <f t="shared" si="18"/>
        <v>48000</v>
      </c>
      <c r="F25" s="31">
        <f t="shared" si="18"/>
        <v>57000</v>
      </c>
      <c r="G25" s="30">
        <f t="shared" ref="G25:R25" si="19">(3000*ROUNDUP((G6/50),0))</f>
        <v>33000</v>
      </c>
      <c r="H25" s="30">
        <f t="shared" si="19"/>
        <v>36000</v>
      </c>
      <c r="I25" s="30">
        <f t="shared" si="19"/>
        <v>36000</v>
      </c>
      <c r="J25" s="30">
        <f t="shared" si="19"/>
        <v>39000</v>
      </c>
      <c r="K25" s="30">
        <f t="shared" si="19"/>
        <v>42000</v>
      </c>
      <c r="L25" s="30">
        <f t="shared" si="19"/>
        <v>42000</v>
      </c>
      <c r="M25" s="30">
        <f t="shared" si="19"/>
        <v>45000</v>
      </c>
      <c r="N25" s="30">
        <f t="shared" si="19"/>
        <v>45000</v>
      </c>
      <c r="O25" s="30">
        <f t="shared" si="19"/>
        <v>45000</v>
      </c>
      <c r="P25" s="30">
        <f t="shared" si="19"/>
        <v>48000</v>
      </c>
      <c r="Q25" s="30">
        <f t="shared" si="19"/>
        <v>48000</v>
      </c>
      <c r="R25" s="30">
        <f t="shared" si="19"/>
        <v>48000</v>
      </c>
      <c r="S25" s="30">
        <f t="shared" si="10"/>
        <v>507000</v>
      </c>
      <c r="T25" s="32">
        <f t="shared" si="11"/>
        <v>0.12458030104154012</v>
      </c>
    </row>
    <row r="26" spans="1:26" ht="14.25" customHeight="1" x14ac:dyDescent="0.25">
      <c r="A26" s="13" t="s">
        <v>38</v>
      </c>
      <c r="B26" s="30">
        <f t="shared" ref="B26:R26" si="20">SUM(B9:B25)</f>
        <v>297000</v>
      </c>
      <c r="C26" s="30">
        <f t="shared" si="20"/>
        <v>314550</v>
      </c>
      <c r="D26" s="30">
        <f t="shared" si="20"/>
        <v>318717.5</v>
      </c>
      <c r="E26" s="30">
        <f t="shared" si="20"/>
        <v>310009.875</v>
      </c>
      <c r="F26" s="31">
        <f t="shared" si="20"/>
        <v>353858.39374999999</v>
      </c>
      <c r="G26" s="30">
        <f t="shared" si="20"/>
        <v>251232.16281250003</v>
      </c>
      <c r="H26" s="30">
        <f t="shared" si="20"/>
        <v>268797.33839062497</v>
      </c>
      <c r="I26" s="30">
        <f t="shared" si="20"/>
        <v>275227.73763203126</v>
      </c>
      <c r="J26" s="30">
        <f t="shared" si="20"/>
        <v>290693.57698722661</v>
      </c>
      <c r="K26" s="30">
        <f t="shared" si="20"/>
        <v>305339.54043914261</v>
      </c>
      <c r="L26" s="30">
        <f t="shared" si="20"/>
        <v>309288.60937327123</v>
      </c>
      <c r="M26" s="30">
        <f t="shared" si="20"/>
        <v>322645.31796728051</v>
      </c>
      <c r="N26" s="30">
        <f t="shared" si="20"/>
        <v>325498.52027218841</v>
      </c>
      <c r="O26" s="30">
        <f t="shared" si="20"/>
        <v>327923.74223136017</v>
      </c>
      <c r="P26" s="30">
        <f t="shared" si="20"/>
        <v>339985.18089665612</v>
      </c>
      <c r="Q26" s="30">
        <f t="shared" si="20"/>
        <v>341737.40376215772</v>
      </c>
      <c r="R26" s="30">
        <f t="shared" si="20"/>
        <v>343226.79319783405</v>
      </c>
      <c r="S26" s="30">
        <f t="shared" si="10"/>
        <v>3701595.9239622736</v>
      </c>
      <c r="T26" s="32">
        <f t="shared" si="11"/>
        <v>0.90955805629459152</v>
      </c>
    </row>
    <row r="27" spans="1:26" ht="14.25" customHeight="1" x14ac:dyDescent="0.25">
      <c r="A27" s="24" t="s">
        <v>39</v>
      </c>
      <c r="B27" s="34">
        <f t="shared" ref="B27:R27" si="21">B7-B26</f>
        <v>-247000</v>
      </c>
      <c r="C27" s="34">
        <f t="shared" si="21"/>
        <v>-209550</v>
      </c>
      <c r="D27" s="34">
        <f t="shared" si="21"/>
        <v>-166967.5</v>
      </c>
      <c r="E27" s="34">
        <f t="shared" si="21"/>
        <v>-118522.375</v>
      </c>
      <c r="F27" s="35">
        <f t="shared" si="21"/>
        <v>-128594.01874999999</v>
      </c>
      <c r="G27" s="36">
        <f t="shared" si="21"/>
        <v>2742.555937499943</v>
      </c>
      <c r="H27" s="36">
        <f t="shared" si="21"/>
        <v>9581.1725468750228</v>
      </c>
      <c r="I27" s="36">
        <f t="shared" si="21"/>
        <v>23893.996664843755</v>
      </c>
      <c r="J27" s="36">
        <f t="shared" si="21"/>
        <v>26059.897165117145</v>
      </c>
      <c r="K27" s="36">
        <f t="shared" si="21"/>
        <v>26400.912590349559</v>
      </c>
      <c r="L27" s="36">
        <f t="shared" si="21"/>
        <v>35190.77570179716</v>
      </c>
      <c r="M27" s="36">
        <f t="shared" si="21"/>
        <v>32662.159346527595</v>
      </c>
      <c r="N27" s="36">
        <f t="shared" si="21"/>
        <v>39012.8354445484</v>
      </c>
      <c r="O27" s="36">
        <f t="shared" si="21"/>
        <v>44410.91012786614</v>
      </c>
      <c r="P27" s="36">
        <f t="shared" si="21"/>
        <v>38999.273608686228</v>
      </c>
      <c r="Q27" s="36">
        <f t="shared" si="21"/>
        <v>42899.382567383291</v>
      </c>
      <c r="R27" s="36">
        <f t="shared" si="21"/>
        <v>46214.475182275753</v>
      </c>
      <c r="S27" s="36">
        <f t="shared" si="10"/>
        <v>368068.34688377002</v>
      </c>
      <c r="T27" s="37">
        <f>S27/S7</f>
        <v>9.0441943705408451E-2</v>
      </c>
      <c r="U27" s="27"/>
      <c r="V27" s="27"/>
      <c r="W27" s="27"/>
      <c r="X27" s="27"/>
      <c r="Y27" s="27"/>
      <c r="Z27" s="27"/>
    </row>
    <row r="28" spans="1:26" ht="14.25" customHeight="1" x14ac:dyDescent="0.2"/>
    <row r="29" spans="1:26" ht="14.25" customHeight="1" x14ac:dyDescent="0.2"/>
    <row r="30" spans="1:26" ht="14.25" customHeight="1" x14ac:dyDescent="0.2"/>
    <row r="31" spans="1:26" ht="14.25" customHeight="1" x14ac:dyDescent="0.2"/>
    <row r="32" spans="1:2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J13" workbookViewId="0">
      <selection activeCell="Y23" sqref="Y23"/>
    </sheetView>
  </sheetViews>
  <sheetFormatPr defaultColWidth="12.625" defaultRowHeight="15" customHeight="1" x14ac:dyDescent="0.2"/>
  <cols>
    <col min="1" max="1" width="16.5" customWidth="1"/>
    <col min="2" max="2" width="8.125" customWidth="1"/>
    <col min="3" max="3" width="9.125" customWidth="1"/>
    <col min="4" max="4" width="8.125" customWidth="1"/>
    <col min="5" max="5" width="9.875" customWidth="1"/>
    <col min="6" max="6" width="11.625" customWidth="1"/>
    <col min="7" max="8" width="12.625" customWidth="1"/>
    <col min="9" max="9" width="9.375" customWidth="1"/>
    <col min="10" max="10" width="12.125" customWidth="1"/>
    <col min="11" max="13" width="8.375" customWidth="1"/>
    <col min="14" max="14" width="11.625" customWidth="1"/>
    <col min="15" max="15" width="9.125" customWidth="1"/>
    <col min="16" max="16" width="8.625" customWidth="1"/>
    <col min="17" max="17" width="12.75" customWidth="1"/>
    <col min="18" max="18" width="11.375" customWidth="1"/>
    <col min="19" max="19" width="10" customWidth="1"/>
    <col min="20" max="20" width="10.5" customWidth="1"/>
    <col min="21" max="21" width="9.5" customWidth="1"/>
    <col min="22" max="26" width="7.625" customWidth="1"/>
  </cols>
  <sheetData>
    <row r="1" spans="1:26" ht="14.25" customHeight="1" x14ac:dyDescent="0.25">
      <c r="A1" s="2" t="s">
        <v>49</v>
      </c>
      <c r="C1" s="38" t="s">
        <v>41</v>
      </c>
      <c r="D1" s="38" t="s">
        <v>50</v>
      </c>
      <c r="E1" s="38" t="s">
        <v>51</v>
      </c>
      <c r="F1" s="38" t="s">
        <v>52</v>
      </c>
      <c r="G1" s="38" t="s">
        <v>53</v>
      </c>
      <c r="H1" s="38" t="s">
        <v>54</v>
      </c>
      <c r="I1" s="38" t="s">
        <v>55</v>
      </c>
      <c r="J1" s="38" t="s">
        <v>56</v>
      </c>
      <c r="K1" s="38" t="s">
        <v>0</v>
      </c>
      <c r="L1" s="38" t="s">
        <v>46</v>
      </c>
      <c r="M1" s="38" t="s">
        <v>47</v>
      </c>
      <c r="N1" s="38" t="s">
        <v>57</v>
      </c>
      <c r="O1" s="38" t="s">
        <v>48</v>
      </c>
    </row>
    <row r="2" spans="1:26" ht="14.25" customHeight="1" x14ac:dyDescent="0.25">
      <c r="C2" s="39"/>
      <c r="D2" s="39">
        <v>50</v>
      </c>
      <c r="E2" s="39">
        <v>10</v>
      </c>
      <c r="F2" s="39">
        <v>300</v>
      </c>
      <c r="G2" s="39">
        <v>1000</v>
      </c>
      <c r="H2" s="40">
        <v>0.42</v>
      </c>
      <c r="I2" s="39">
        <v>500</v>
      </c>
      <c r="J2" s="40">
        <v>0.05</v>
      </c>
      <c r="K2" s="41">
        <v>3</v>
      </c>
      <c r="L2" s="40">
        <v>0.05</v>
      </c>
      <c r="M2" s="41">
        <f>K2/L2</f>
        <v>60</v>
      </c>
      <c r="N2" s="40">
        <v>0.9</v>
      </c>
      <c r="O2" s="42">
        <f>(I2*J2)/(1-N2)</f>
        <v>250.00000000000006</v>
      </c>
    </row>
    <row r="3" spans="1:26" ht="14.25" customHeight="1" x14ac:dyDescent="0.25">
      <c r="A3" s="4" t="s">
        <v>1</v>
      </c>
      <c r="B3" s="4">
        <v>2020</v>
      </c>
      <c r="C3" s="4">
        <v>2020</v>
      </c>
      <c r="D3" s="4">
        <v>2020</v>
      </c>
      <c r="E3" s="4">
        <v>2020</v>
      </c>
      <c r="F3" s="5">
        <v>2020</v>
      </c>
      <c r="G3" s="4">
        <v>2021</v>
      </c>
      <c r="H3" s="4">
        <v>2021</v>
      </c>
      <c r="I3" s="4">
        <v>2021</v>
      </c>
      <c r="J3" s="4">
        <v>2021</v>
      </c>
      <c r="K3" s="4">
        <v>2021</v>
      </c>
      <c r="L3" s="4">
        <v>2021</v>
      </c>
      <c r="M3" s="4">
        <v>2021</v>
      </c>
      <c r="N3" s="4">
        <v>2021</v>
      </c>
      <c r="O3" s="4">
        <v>2021</v>
      </c>
      <c r="P3" s="4">
        <v>2021</v>
      </c>
      <c r="Q3" s="4">
        <v>2021</v>
      </c>
      <c r="R3" s="5">
        <v>2021</v>
      </c>
      <c r="S3" s="43" t="s">
        <v>2</v>
      </c>
      <c r="T3" s="44" t="s">
        <v>58</v>
      </c>
      <c r="U3" t="s">
        <v>66</v>
      </c>
    </row>
    <row r="4" spans="1:26" ht="14.25" customHeight="1" x14ac:dyDescent="0.25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9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5</v>
      </c>
      <c r="O4" s="8" t="s">
        <v>6</v>
      </c>
      <c r="P4" s="8" t="s">
        <v>7</v>
      </c>
      <c r="Q4" s="8" t="s">
        <v>8</v>
      </c>
      <c r="R4" s="9" t="s">
        <v>9</v>
      </c>
      <c r="S4" s="45">
        <v>2021</v>
      </c>
      <c r="T4" s="44">
        <v>2021</v>
      </c>
      <c r="U4" s="72" t="s">
        <v>67</v>
      </c>
    </row>
    <row r="5" spans="1:26" ht="14.25" customHeight="1" x14ac:dyDescent="0.25">
      <c r="A5" s="46" t="s">
        <v>17</v>
      </c>
      <c r="B5" s="47"/>
      <c r="C5" s="47"/>
      <c r="D5" s="47"/>
      <c r="E5" s="47"/>
      <c r="F5" s="48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49"/>
      <c r="T5" s="47"/>
      <c r="U5" s="47"/>
      <c r="V5" s="47"/>
      <c r="W5" s="47"/>
      <c r="X5" s="47"/>
      <c r="Y5" s="47"/>
      <c r="Z5" s="47"/>
    </row>
    <row r="6" spans="1:26" ht="14.25" customHeight="1" x14ac:dyDescent="0.25">
      <c r="A6" s="6" t="s">
        <v>59</v>
      </c>
      <c r="B6" s="2">
        <f>D2</f>
        <v>50</v>
      </c>
      <c r="C6" s="2">
        <f t="shared" ref="C6:R6" si="0">B6+$E$2</f>
        <v>60</v>
      </c>
      <c r="D6" s="2">
        <f t="shared" si="0"/>
        <v>70</v>
      </c>
      <c r="E6" s="2">
        <f t="shared" si="0"/>
        <v>80</v>
      </c>
      <c r="F6" s="7">
        <f t="shared" si="0"/>
        <v>90</v>
      </c>
      <c r="G6" s="2">
        <f t="shared" si="0"/>
        <v>100</v>
      </c>
      <c r="H6" s="2">
        <f t="shared" si="0"/>
        <v>110</v>
      </c>
      <c r="I6" s="2">
        <f t="shared" si="0"/>
        <v>120</v>
      </c>
      <c r="J6" s="2">
        <f t="shared" si="0"/>
        <v>130</v>
      </c>
      <c r="K6" s="2">
        <f t="shared" si="0"/>
        <v>140</v>
      </c>
      <c r="L6" s="2">
        <f t="shared" si="0"/>
        <v>150</v>
      </c>
      <c r="M6" s="2">
        <f t="shared" si="0"/>
        <v>160</v>
      </c>
      <c r="N6" s="2">
        <f t="shared" si="0"/>
        <v>170</v>
      </c>
      <c r="O6" s="2">
        <f t="shared" si="0"/>
        <v>180</v>
      </c>
      <c r="P6" s="2">
        <f t="shared" si="0"/>
        <v>190</v>
      </c>
      <c r="Q6" s="2">
        <f t="shared" si="0"/>
        <v>200</v>
      </c>
      <c r="R6" s="7">
        <f t="shared" si="0"/>
        <v>210</v>
      </c>
      <c r="S6" s="50">
        <f t="shared" ref="S6:S9" si="1">SUM(G6:R6)</f>
        <v>1860</v>
      </c>
      <c r="T6" s="51">
        <v>2044.5749384785677</v>
      </c>
      <c r="U6" s="73">
        <f>T6-S6</f>
        <v>184.57493847856767</v>
      </c>
    </row>
    <row r="7" spans="1:26" ht="14.25" customHeight="1" x14ac:dyDescent="0.25">
      <c r="A7" s="6" t="s">
        <v>60</v>
      </c>
      <c r="B7" s="3">
        <f t="shared" ref="B7:R7" si="2">B6*$F$2</f>
        <v>15000</v>
      </c>
      <c r="C7" s="3">
        <f t="shared" si="2"/>
        <v>18000</v>
      </c>
      <c r="D7" s="3">
        <f t="shared" si="2"/>
        <v>21000</v>
      </c>
      <c r="E7" s="3">
        <f t="shared" si="2"/>
        <v>24000</v>
      </c>
      <c r="F7" s="29">
        <f t="shared" si="2"/>
        <v>27000</v>
      </c>
      <c r="G7" s="3">
        <f t="shared" si="2"/>
        <v>30000</v>
      </c>
      <c r="H7" s="3">
        <f t="shared" si="2"/>
        <v>33000</v>
      </c>
      <c r="I7" s="3">
        <f t="shared" si="2"/>
        <v>36000</v>
      </c>
      <c r="J7" s="3">
        <f t="shared" si="2"/>
        <v>39000</v>
      </c>
      <c r="K7" s="3">
        <f t="shared" si="2"/>
        <v>42000</v>
      </c>
      <c r="L7" s="3">
        <f t="shared" si="2"/>
        <v>45000</v>
      </c>
      <c r="M7" s="3">
        <f t="shared" si="2"/>
        <v>48000</v>
      </c>
      <c r="N7" s="3">
        <f t="shared" si="2"/>
        <v>51000</v>
      </c>
      <c r="O7" s="3">
        <f t="shared" si="2"/>
        <v>54000</v>
      </c>
      <c r="P7" s="3">
        <f t="shared" si="2"/>
        <v>57000</v>
      </c>
      <c r="Q7" s="3">
        <f t="shared" si="2"/>
        <v>60000</v>
      </c>
      <c r="R7" s="29">
        <f t="shared" si="2"/>
        <v>63000</v>
      </c>
      <c r="S7" s="52">
        <f t="shared" si="1"/>
        <v>558000</v>
      </c>
      <c r="T7" s="3">
        <v>520213.54477497557</v>
      </c>
      <c r="U7" s="73">
        <f t="shared" ref="U7:U10" si="3">T7-S7</f>
        <v>-37786.455225024431</v>
      </c>
    </row>
    <row r="8" spans="1:26" ht="14.25" customHeight="1" x14ac:dyDescent="0.25">
      <c r="A8" s="6" t="s">
        <v>61</v>
      </c>
      <c r="B8" s="11">
        <f>G2</f>
        <v>1000</v>
      </c>
      <c r="C8" s="11">
        <f t="shared" ref="C8:R8" si="4">B8*(1+$H$2)*$N$2</f>
        <v>1278</v>
      </c>
      <c r="D8" s="11">
        <f t="shared" si="4"/>
        <v>1633.2840000000001</v>
      </c>
      <c r="E8" s="11">
        <f t="shared" si="4"/>
        <v>2087.3369520000001</v>
      </c>
      <c r="F8" s="12">
        <f t="shared" si="4"/>
        <v>2667.6166246560001</v>
      </c>
      <c r="G8" s="11">
        <f t="shared" si="4"/>
        <v>3409.2140463103678</v>
      </c>
      <c r="H8" s="11">
        <f t="shared" si="4"/>
        <v>4356.9755511846497</v>
      </c>
      <c r="I8" s="11">
        <f t="shared" si="4"/>
        <v>5568.2147544139825</v>
      </c>
      <c r="J8" s="11">
        <f t="shared" si="4"/>
        <v>7116.1784561410695</v>
      </c>
      <c r="K8" s="11">
        <f t="shared" si="4"/>
        <v>9094.4760669482857</v>
      </c>
      <c r="L8" s="11">
        <f t="shared" si="4"/>
        <v>11622.740413559908</v>
      </c>
      <c r="M8" s="11">
        <f t="shared" si="4"/>
        <v>14853.86224852956</v>
      </c>
      <c r="N8" s="11">
        <f t="shared" si="4"/>
        <v>18983.235953620777</v>
      </c>
      <c r="O8" s="11">
        <f t="shared" si="4"/>
        <v>24260.575548727353</v>
      </c>
      <c r="P8" s="11">
        <f t="shared" si="4"/>
        <v>31005.015551273558</v>
      </c>
      <c r="Q8" s="11">
        <f t="shared" si="4"/>
        <v>39624.409874527606</v>
      </c>
      <c r="R8" s="12">
        <f t="shared" si="4"/>
        <v>50639.995819646283</v>
      </c>
      <c r="S8" s="50">
        <f t="shared" si="1"/>
        <v>220534.8942848834</v>
      </c>
      <c r="T8" s="51">
        <v>212646.60877118606</v>
      </c>
      <c r="U8" s="73">
        <f t="shared" si="3"/>
        <v>-7888.2855136973376</v>
      </c>
    </row>
    <row r="9" spans="1:26" ht="14.25" customHeight="1" x14ac:dyDescent="0.25">
      <c r="A9" s="6" t="s">
        <v>62</v>
      </c>
      <c r="B9" s="3">
        <f t="shared" ref="B9:R9" si="5">B8*$I$2*$J$2</f>
        <v>25000</v>
      </c>
      <c r="C9" s="3">
        <f t="shared" si="5"/>
        <v>31950</v>
      </c>
      <c r="D9" s="3">
        <f t="shared" si="5"/>
        <v>40832.100000000006</v>
      </c>
      <c r="E9" s="3">
        <f t="shared" si="5"/>
        <v>52183.423800000004</v>
      </c>
      <c r="F9" s="29">
        <f t="shared" si="5"/>
        <v>66690.415616400001</v>
      </c>
      <c r="G9" s="3">
        <f t="shared" si="5"/>
        <v>85230.3511577592</v>
      </c>
      <c r="H9" s="3">
        <f t="shared" si="5"/>
        <v>108924.38877961625</v>
      </c>
      <c r="I9" s="3">
        <f t="shared" si="5"/>
        <v>139205.36886034958</v>
      </c>
      <c r="J9" s="3">
        <f t="shared" si="5"/>
        <v>177904.46140352674</v>
      </c>
      <c r="K9" s="3">
        <f t="shared" si="5"/>
        <v>227361.90167370715</v>
      </c>
      <c r="L9" s="3">
        <f t="shared" si="5"/>
        <v>290568.5103389977</v>
      </c>
      <c r="M9" s="3">
        <f t="shared" si="5"/>
        <v>371346.55621323903</v>
      </c>
      <c r="N9" s="3">
        <f t="shared" si="5"/>
        <v>474580.89884051942</v>
      </c>
      <c r="O9" s="3">
        <f t="shared" si="5"/>
        <v>606514.38871818385</v>
      </c>
      <c r="P9" s="3">
        <f t="shared" si="5"/>
        <v>775125.38878183905</v>
      </c>
      <c r="Q9" s="3">
        <f t="shared" si="5"/>
        <v>990610.24686319008</v>
      </c>
      <c r="R9" s="29">
        <f t="shared" si="5"/>
        <v>1265999.8954911572</v>
      </c>
      <c r="S9" s="52">
        <f t="shared" si="1"/>
        <v>5513372.357122086</v>
      </c>
      <c r="T9" s="3">
        <v>5670028.2124672607</v>
      </c>
      <c r="U9" s="73">
        <f t="shared" si="3"/>
        <v>156655.85534517467</v>
      </c>
    </row>
    <row r="10" spans="1:26" ht="14.25" customHeight="1" x14ac:dyDescent="0.25">
      <c r="A10" s="53" t="s">
        <v>63</v>
      </c>
      <c r="B10" s="54">
        <f t="shared" ref="B10:R10" si="6">B9+B7</f>
        <v>40000</v>
      </c>
      <c r="C10" s="54">
        <f t="shared" si="6"/>
        <v>49950</v>
      </c>
      <c r="D10" s="54">
        <f t="shared" si="6"/>
        <v>61832.100000000006</v>
      </c>
      <c r="E10" s="54">
        <f t="shared" si="6"/>
        <v>76183.423800000004</v>
      </c>
      <c r="F10" s="55">
        <f t="shared" si="6"/>
        <v>93690.415616400001</v>
      </c>
      <c r="G10" s="54">
        <f t="shared" si="6"/>
        <v>115230.3511577592</v>
      </c>
      <c r="H10" s="54">
        <f t="shared" si="6"/>
        <v>141924.38877961625</v>
      </c>
      <c r="I10" s="54">
        <f t="shared" si="6"/>
        <v>175205.36886034958</v>
      </c>
      <c r="J10" s="54">
        <f t="shared" si="6"/>
        <v>216904.46140352674</v>
      </c>
      <c r="K10" s="54">
        <f t="shared" si="6"/>
        <v>269361.90167370718</v>
      </c>
      <c r="L10" s="54">
        <f t="shared" si="6"/>
        <v>335568.5103389977</v>
      </c>
      <c r="M10" s="54">
        <f t="shared" si="6"/>
        <v>419346.55621323903</v>
      </c>
      <c r="N10" s="54">
        <f t="shared" si="6"/>
        <v>525580.89884051937</v>
      </c>
      <c r="O10" s="54">
        <f t="shared" si="6"/>
        <v>660514.38871818385</v>
      </c>
      <c r="P10" s="54">
        <f t="shared" si="6"/>
        <v>832125.38878183905</v>
      </c>
      <c r="Q10" s="54">
        <f t="shared" si="6"/>
        <v>1050610.2468631901</v>
      </c>
      <c r="R10" s="55">
        <f t="shared" si="6"/>
        <v>1328999.8954911572</v>
      </c>
      <c r="S10" s="56">
        <f>SUM(B10:R10)</f>
        <v>6393028.2965384852</v>
      </c>
      <c r="T10" s="57">
        <v>6190241.7572422363</v>
      </c>
      <c r="U10" s="73">
        <f t="shared" si="3"/>
        <v>-202786.53929624893</v>
      </c>
    </row>
    <row r="11" spans="1:26" ht="14.25" customHeight="1" x14ac:dyDescent="0.25">
      <c r="A11" s="58" t="s">
        <v>20</v>
      </c>
      <c r="B11" s="59"/>
      <c r="C11" s="59"/>
      <c r="D11" s="59"/>
      <c r="E11" s="59"/>
      <c r="F11" s="60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0"/>
      <c r="S11" s="49"/>
      <c r="T11" s="59"/>
      <c r="U11" s="59"/>
      <c r="V11" s="59"/>
      <c r="W11" s="59"/>
      <c r="X11" s="59"/>
      <c r="Y11" s="59"/>
      <c r="Z11" s="59"/>
    </row>
    <row r="12" spans="1:26" ht="14.25" customHeight="1" x14ac:dyDescent="0.25">
      <c r="A12" s="61" t="s">
        <v>64</v>
      </c>
      <c r="B12" s="62"/>
      <c r="C12" s="62"/>
      <c r="D12" s="62"/>
      <c r="E12" s="62"/>
      <c r="F12" s="63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3"/>
      <c r="S12" s="64"/>
      <c r="T12" s="62"/>
      <c r="U12" s="62"/>
      <c r="V12" s="62"/>
      <c r="W12" s="62"/>
      <c r="X12" s="62"/>
      <c r="Y12" s="62"/>
      <c r="Z12" s="62"/>
    </row>
    <row r="13" spans="1:26" ht="14.25" customHeight="1" x14ac:dyDescent="0.25">
      <c r="A13" s="2" t="s">
        <v>21</v>
      </c>
      <c r="B13" s="30">
        <v>30000</v>
      </c>
      <c r="C13" s="30">
        <v>20000</v>
      </c>
      <c r="D13" s="30">
        <v>10000</v>
      </c>
      <c r="E13" s="30">
        <v>0</v>
      </c>
      <c r="F13" s="31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v>0</v>
      </c>
      <c r="S13" s="65">
        <f t="shared" ref="S13:S30" si="7">SUM(G13:R13)</f>
        <v>0</v>
      </c>
      <c r="T13" s="3">
        <v>0</v>
      </c>
      <c r="U13" s="73">
        <f t="shared" ref="U13:U32" si="8">T13-S13</f>
        <v>0</v>
      </c>
    </row>
    <row r="14" spans="1:26" ht="14.25" customHeight="1" x14ac:dyDescent="0.25">
      <c r="A14" s="2" t="s">
        <v>22</v>
      </c>
      <c r="B14" s="30">
        <v>100000</v>
      </c>
      <c r="C14" s="30">
        <v>100000</v>
      </c>
      <c r="D14" s="30">
        <v>100000</v>
      </c>
      <c r="E14" s="30">
        <v>25000</v>
      </c>
      <c r="F14" s="31">
        <v>25000</v>
      </c>
      <c r="G14" s="30">
        <v>5000</v>
      </c>
      <c r="H14" s="30">
        <v>5000</v>
      </c>
      <c r="I14" s="30">
        <v>5000</v>
      </c>
      <c r="J14" s="30">
        <v>5000</v>
      </c>
      <c r="K14" s="30">
        <v>5000</v>
      </c>
      <c r="L14" s="30">
        <v>5000</v>
      </c>
      <c r="M14" s="30">
        <v>5000</v>
      </c>
      <c r="N14" s="30">
        <v>5000</v>
      </c>
      <c r="O14" s="30">
        <v>5000</v>
      </c>
      <c r="P14" s="30">
        <v>5000</v>
      </c>
      <c r="Q14" s="30">
        <v>5000</v>
      </c>
      <c r="R14" s="31">
        <v>5000</v>
      </c>
      <c r="S14" s="65">
        <f t="shared" si="7"/>
        <v>60000</v>
      </c>
      <c r="T14" s="3">
        <v>53390.92807094349</v>
      </c>
      <c r="U14" s="73">
        <f t="shared" si="8"/>
        <v>-6609.0719290565103</v>
      </c>
    </row>
    <row r="15" spans="1:26" ht="14.25" customHeight="1" x14ac:dyDescent="0.25">
      <c r="A15" s="2" t="s">
        <v>25</v>
      </c>
      <c r="B15" s="30">
        <v>2000</v>
      </c>
      <c r="C15" s="30">
        <v>2000</v>
      </c>
      <c r="D15" s="30">
        <v>2000</v>
      </c>
      <c r="E15" s="30">
        <v>2000</v>
      </c>
      <c r="F15" s="31">
        <v>2000</v>
      </c>
      <c r="G15" s="30">
        <v>2000</v>
      </c>
      <c r="H15" s="30">
        <v>2000</v>
      </c>
      <c r="I15" s="30">
        <v>2000</v>
      </c>
      <c r="J15" s="30">
        <v>2000</v>
      </c>
      <c r="K15" s="30">
        <v>2000</v>
      </c>
      <c r="L15" s="30">
        <v>2000</v>
      </c>
      <c r="M15" s="30">
        <v>2000</v>
      </c>
      <c r="N15" s="30">
        <v>2000</v>
      </c>
      <c r="O15" s="30">
        <v>2000</v>
      </c>
      <c r="P15" s="30">
        <v>2000</v>
      </c>
      <c r="Q15" s="30">
        <v>2000</v>
      </c>
      <c r="R15" s="31">
        <v>2000</v>
      </c>
      <c r="S15" s="65">
        <f t="shared" si="7"/>
        <v>24000</v>
      </c>
      <c r="T15" s="3">
        <v>22210.634192602774</v>
      </c>
      <c r="U15" s="73">
        <f t="shared" si="8"/>
        <v>-1789.3658073972256</v>
      </c>
    </row>
    <row r="16" spans="1:26" ht="14.25" customHeight="1" x14ac:dyDescent="0.25">
      <c r="A16" s="2" t="s">
        <v>26</v>
      </c>
      <c r="B16" s="30">
        <v>5000</v>
      </c>
      <c r="C16" s="30">
        <v>5000</v>
      </c>
      <c r="D16" s="30">
        <v>5000</v>
      </c>
      <c r="E16" s="30">
        <v>5000</v>
      </c>
      <c r="F16" s="31">
        <v>5000</v>
      </c>
      <c r="G16" s="30">
        <v>5000</v>
      </c>
      <c r="H16" s="30">
        <v>5000</v>
      </c>
      <c r="I16" s="30">
        <v>5000</v>
      </c>
      <c r="J16" s="30">
        <v>5000</v>
      </c>
      <c r="K16" s="30">
        <v>5000</v>
      </c>
      <c r="L16" s="30">
        <v>5000</v>
      </c>
      <c r="M16" s="30">
        <v>5000</v>
      </c>
      <c r="N16" s="30">
        <v>5000</v>
      </c>
      <c r="O16" s="30">
        <v>5000</v>
      </c>
      <c r="P16" s="30">
        <v>5000</v>
      </c>
      <c r="Q16" s="30">
        <v>5000</v>
      </c>
      <c r="R16" s="31">
        <v>5000</v>
      </c>
      <c r="S16" s="65">
        <f t="shared" si="7"/>
        <v>60000</v>
      </c>
      <c r="T16" s="3">
        <v>65774.258149133806</v>
      </c>
      <c r="U16" s="73">
        <f t="shared" si="8"/>
        <v>5774.258149133806</v>
      </c>
    </row>
    <row r="17" spans="1:26" ht="14.25" customHeight="1" x14ac:dyDescent="0.25">
      <c r="A17" s="2" t="s">
        <v>27</v>
      </c>
      <c r="B17" s="30">
        <v>1000</v>
      </c>
      <c r="C17" s="30">
        <v>1000</v>
      </c>
      <c r="D17" s="30">
        <v>1000</v>
      </c>
      <c r="E17" s="30">
        <v>1000</v>
      </c>
      <c r="F17" s="31">
        <v>1000</v>
      </c>
      <c r="G17" s="30">
        <v>1000</v>
      </c>
      <c r="H17" s="30">
        <v>1000</v>
      </c>
      <c r="I17" s="30">
        <v>1000</v>
      </c>
      <c r="J17" s="30">
        <v>1000</v>
      </c>
      <c r="K17" s="30">
        <v>1000</v>
      </c>
      <c r="L17" s="30">
        <v>1000</v>
      </c>
      <c r="M17" s="30">
        <v>1000</v>
      </c>
      <c r="N17" s="30">
        <v>1000</v>
      </c>
      <c r="O17" s="30">
        <v>1000</v>
      </c>
      <c r="P17" s="30">
        <v>1000</v>
      </c>
      <c r="Q17" s="30">
        <v>1000</v>
      </c>
      <c r="R17" s="31">
        <v>1000</v>
      </c>
      <c r="S17" s="65">
        <f t="shared" si="7"/>
        <v>12000</v>
      </c>
      <c r="T17" s="3">
        <v>13074.858064094537</v>
      </c>
      <c r="U17" s="73">
        <f t="shared" si="8"/>
        <v>1074.8580640945365</v>
      </c>
    </row>
    <row r="18" spans="1:26" ht="14.25" customHeight="1" x14ac:dyDescent="0.25">
      <c r="A18" s="2" t="s">
        <v>28</v>
      </c>
      <c r="B18" s="30">
        <v>1000</v>
      </c>
      <c r="C18" s="30">
        <v>1000</v>
      </c>
      <c r="D18" s="30">
        <v>1000</v>
      </c>
      <c r="E18" s="30">
        <v>1000</v>
      </c>
      <c r="F18" s="31">
        <v>1000</v>
      </c>
      <c r="G18" s="30">
        <v>1000</v>
      </c>
      <c r="H18" s="30">
        <v>1000</v>
      </c>
      <c r="I18" s="30">
        <v>1000</v>
      </c>
      <c r="J18" s="30">
        <v>1000</v>
      </c>
      <c r="K18" s="30">
        <v>1000</v>
      </c>
      <c r="L18" s="30">
        <v>1000</v>
      </c>
      <c r="M18" s="30">
        <v>1000</v>
      </c>
      <c r="N18" s="30">
        <v>1000</v>
      </c>
      <c r="O18" s="30">
        <v>1000</v>
      </c>
      <c r="P18" s="30">
        <v>1000</v>
      </c>
      <c r="Q18" s="30">
        <v>1000</v>
      </c>
      <c r="R18" s="31">
        <v>1000</v>
      </c>
      <c r="S18" s="65">
        <f t="shared" si="7"/>
        <v>12000</v>
      </c>
      <c r="T18" s="3">
        <v>12346.507098767064</v>
      </c>
      <c r="U18" s="73">
        <f t="shared" si="8"/>
        <v>346.50709876706424</v>
      </c>
    </row>
    <row r="19" spans="1:26" ht="14.25" customHeight="1" x14ac:dyDescent="0.25">
      <c r="A19" s="2" t="s">
        <v>30</v>
      </c>
      <c r="B19" s="30">
        <v>1000</v>
      </c>
      <c r="C19" s="30">
        <v>1000</v>
      </c>
      <c r="D19" s="30">
        <v>1000</v>
      </c>
      <c r="E19" s="30">
        <v>1000</v>
      </c>
      <c r="F19" s="31">
        <v>1000</v>
      </c>
      <c r="G19" s="30">
        <v>1000</v>
      </c>
      <c r="H19" s="30">
        <v>1000</v>
      </c>
      <c r="I19" s="30">
        <v>1000</v>
      </c>
      <c r="J19" s="30">
        <v>1000</v>
      </c>
      <c r="K19" s="30">
        <v>1000</v>
      </c>
      <c r="L19" s="30">
        <v>1000</v>
      </c>
      <c r="M19" s="30">
        <v>1000</v>
      </c>
      <c r="N19" s="30">
        <v>1000</v>
      </c>
      <c r="O19" s="30">
        <v>1000</v>
      </c>
      <c r="P19" s="30">
        <v>1000</v>
      </c>
      <c r="Q19" s="30">
        <v>1000</v>
      </c>
      <c r="R19" s="31">
        <v>1000</v>
      </c>
      <c r="S19" s="65">
        <f t="shared" si="7"/>
        <v>12000</v>
      </c>
      <c r="T19" s="3">
        <v>13369.550833696319</v>
      </c>
      <c r="U19" s="73">
        <f t="shared" si="8"/>
        <v>1369.5508336963194</v>
      </c>
    </row>
    <row r="20" spans="1:26" ht="14.25" customHeight="1" x14ac:dyDescent="0.25">
      <c r="A20" s="2" t="s">
        <v>31</v>
      </c>
      <c r="B20" s="30">
        <v>15000</v>
      </c>
      <c r="C20" s="30">
        <v>10000</v>
      </c>
      <c r="D20" s="30">
        <v>5000</v>
      </c>
      <c r="E20" s="30">
        <v>5000</v>
      </c>
      <c r="F20" s="31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1">
        <v>0</v>
      </c>
      <c r="S20" s="65">
        <f t="shared" si="7"/>
        <v>0</v>
      </c>
      <c r="U20" s="73">
        <f t="shared" si="8"/>
        <v>0</v>
      </c>
    </row>
    <row r="21" spans="1:26" ht="14.25" customHeight="1" x14ac:dyDescent="0.25">
      <c r="A21" s="66" t="s">
        <v>65</v>
      </c>
      <c r="B21" s="30"/>
      <c r="C21" s="30"/>
      <c r="D21" s="30"/>
      <c r="E21" s="30"/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1"/>
      <c r="S21" s="65">
        <f t="shared" si="7"/>
        <v>0</v>
      </c>
      <c r="U21" s="73">
        <f t="shared" si="8"/>
        <v>0</v>
      </c>
    </row>
    <row r="22" spans="1:26" ht="14.25" customHeight="1" x14ac:dyDescent="0.25">
      <c r="A22" s="6" t="s">
        <v>29</v>
      </c>
      <c r="B22" s="30">
        <f t="shared" ref="B22:R22" si="9">0.03*B10</f>
        <v>1200</v>
      </c>
      <c r="C22" s="30">
        <f t="shared" si="9"/>
        <v>1498.5</v>
      </c>
      <c r="D22" s="30">
        <f t="shared" si="9"/>
        <v>1854.9630000000002</v>
      </c>
      <c r="E22" s="30">
        <f t="shared" si="9"/>
        <v>2285.5027140000002</v>
      </c>
      <c r="F22" s="31">
        <f t="shared" si="9"/>
        <v>2810.712468492</v>
      </c>
      <c r="G22" s="30">
        <f t="shared" si="9"/>
        <v>3456.9105347327759</v>
      </c>
      <c r="H22" s="30">
        <f t="shared" si="9"/>
        <v>4257.7316633884875</v>
      </c>
      <c r="I22" s="30">
        <f t="shared" si="9"/>
        <v>5256.1610658104873</v>
      </c>
      <c r="J22" s="30">
        <f t="shared" si="9"/>
        <v>6507.1338421058017</v>
      </c>
      <c r="K22" s="30">
        <f t="shared" si="9"/>
        <v>8080.8570502112152</v>
      </c>
      <c r="L22" s="30">
        <f t="shared" si="9"/>
        <v>10067.055310169932</v>
      </c>
      <c r="M22" s="30">
        <f t="shared" si="9"/>
        <v>12580.396686397171</v>
      </c>
      <c r="N22" s="30">
        <f t="shared" si="9"/>
        <v>15767.42696521558</v>
      </c>
      <c r="O22" s="30">
        <f t="shared" si="9"/>
        <v>19815.431661545514</v>
      </c>
      <c r="P22" s="30">
        <f t="shared" si="9"/>
        <v>24963.76166345517</v>
      </c>
      <c r="Q22" s="30">
        <f t="shared" si="9"/>
        <v>31518.307405895703</v>
      </c>
      <c r="R22" s="31">
        <f t="shared" si="9"/>
        <v>39869.996864734712</v>
      </c>
      <c r="S22" s="65">
        <f t="shared" si="7"/>
        <v>182141.17071366255</v>
      </c>
      <c r="T22" s="3">
        <v>192182.43598904504</v>
      </c>
      <c r="U22" s="73">
        <f t="shared" si="8"/>
        <v>10041.265275382495</v>
      </c>
    </row>
    <row r="23" spans="1:26" ht="14.25" customHeight="1" x14ac:dyDescent="0.25">
      <c r="A23" s="6" t="s">
        <v>23</v>
      </c>
      <c r="B23" s="30">
        <f t="shared" ref="B23:R23" si="10">MAX(5000,2*B8)</f>
        <v>5000</v>
      </c>
      <c r="C23" s="30">
        <f t="shared" si="10"/>
        <v>5000</v>
      </c>
      <c r="D23" s="30">
        <f t="shared" si="10"/>
        <v>5000</v>
      </c>
      <c r="E23" s="30">
        <f t="shared" si="10"/>
        <v>5000</v>
      </c>
      <c r="F23" s="31">
        <f t="shared" si="10"/>
        <v>5335.2332493120002</v>
      </c>
      <c r="G23" s="30">
        <f t="shared" si="10"/>
        <v>6818.4280926207357</v>
      </c>
      <c r="H23" s="30">
        <f t="shared" si="10"/>
        <v>8713.9511023692994</v>
      </c>
      <c r="I23" s="30">
        <f t="shared" si="10"/>
        <v>11136.429508827965</v>
      </c>
      <c r="J23" s="30">
        <f t="shared" si="10"/>
        <v>14232.356912282139</v>
      </c>
      <c r="K23" s="30">
        <f t="shared" si="10"/>
        <v>18188.952133896571</v>
      </c>
      <c r="L23" s="30">
        <f t="shared" si="10"/>
        <v>23245.480827119816</v>
      </c>
      <c r="M23" s="30">
        <f t="shared" si="10"/>
        <v>29707.72449705912</v>
      </c>
      <c r="N23" s="30">
        <f t="shared" si="10"/>
        <v>37966.471907241554</v>
      </c>
      <c r="O23" s="30">
        <f t="shared" si="10"/>
        <v>48521.151097454705</v>
      </c>
      <c r="P23" s="30">
        <f t="shared" si="10"/>
        <v>62010.031102547116</v>
      </c>
      <c r="Q23" s="30">
        <f t="shared" si="10"/>
        <v>79248.819749055212</v>
      </c>
      <c r="R23" s="31">
        <f t="shared" si="10"/>
        <v>101279.99163929257</v>
      </c>
      <c r="S23" s="65">
        <f t="shared" si="7"/>
        <v>441069.7885697668</v>
      </c>
      <c r="T23" s="3">
        <v>468146.88721194724</v>
      </c>
      <c r="U23" s="73">
        <f t="shared" si="8"/>
        <v>27077.098642180441</v>
      </c>
    </row>
    <row r="24" spans="1:26" ht="14.25" customHeight="1" x14ac:dyDescent="0.25">
      <c r="A24" s="6" t="s">
        <v>24</v>
      </c>
      <c r="B24" s="30">
        <f>(($H2*B8*0.6)*($K$2/$L$2))</f>
        <v>15120</v>
      </c>
      <c r="C24" s="30">
        <f t="shared" ref="C24:R24" si="11">(($H2*C8*(0.3)*($K$2/$L$2)))</f>
        <v>9661.68</v>
      </c>
      <c r="D24" s="30">
        <f t="shared" si="11"/>
        <v>12347.627039999999</v>
      </c>
      <c r="E24" s="30">
        <f t="shared" si="11"/>
        <v>15780.267357119999</v>
      </c>
      <c r="F24" s="30">
        <f t="shared" si="11"/>
        <v>20167.181682399358</v>
      </c>
      <c r="G24" s="30">
        <f t="shared" si="11"/>
        <v>25773.65819010638</v>
      </c>
      <c r="H24" s="30">
        <f t="shared" si="11"/>
        <v>32938.73516695595</v>
      </c>
      <c r="I24" s="30">
        <f t="shared" si="11"/>
        <v>42095.703543369709</v>
      </c>
      <c r="J24" s="30">
        <f t="shared" si="11"/>
        <v>53798.309128426481</v>
      </c>
      <c r="K24" s="30">
        <f t="shared" si="11"/>
        <v>68754.239066129026</v>
      </c>
      <c r="L24" s="30">
        <f t="shared" si="11"/>
        <v>87867.917526512902</v>
      </c>
      <c r="M24" s="30">
        <f t="shared" si="11"/>
        <v>112295.19859888346</v>
      </c>
      <c r="N24" s="30">
        <f t="shared" si="11"/>
        <v>143513.26380937305</v>
      </c>
      <c r="O24" s="30">
        <f t="shared" si="11"/>
        <v>183409.95114837878</v>
      </c>
      <c r="P24" s="30">
        <f t="shared" si="11"/>
        <v>234397.91756762809</v>
      </c>
      <c r="Q24" s="30">
        <f t="shared" si="11"/>
        <v>299560.53865142871</v>
      </c>
      <c r="R24" s="31">
        <f t="shared" si="11"/>
        <v>382838.36839652585</v>
      </c>
      <c r="S24" s="65">
        <f t="shared" si="7"/>
        <v>1667243.8007937185</v>
      </c>
      <c r="T24" s="3">
        <v>1550119.8803424176</v>
      </c>
      <c r="U24" s="73">
        <f t="shared" si="8"/>
        <v>-117123.92045130092</v>
      </c>
    </row>
    <row r="25" spans="1:26" ht="14.25" customHeight="1" x14ac:dyDescent="0.25">
      <c r="A25" s="13" t="s">
        <v>32</v>
      </c>
      <c r="B25" s="30"/>
      <c r="C25" s="30"/>
      <c r="D25" s="30"/>
      <c r="E25" s="30"/>
      <c r="F25" s="3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  <c r="S25" s="65">
        <f t="shared" si="7"/>
        <v>0</v>
      </c>
      <c r="U25" s="73">
        <f t="shared" si="8"/>
        <v>0</v>
      </c>
    </row>
    <row r="26" spans="1:26" ht="14.25" customHeight="1" x14ac:dyDescent="0.25">
      <c r="A26" s="2" t="s">
        <v>33</v>
      </c>
      <c r="B26" s="30">
        <f t="shared" ref="B26:R26" si="12">6000+(0.01*B10)</f>
        <v>6400</v>
      </c>
      <c r="C26" s="30">
        <f t="shared" si="12"/>
        <v>6499.5</v>
      </c>
      <c r="D26" s="30">
        <f t="shared" si="12"/>
        <v>6618.3209999999999</v>
      </c>
      <c r="E26" s="30">
        <f t="shared" si="12"/>
        <v>6761.8342380000004</v>
      </c>
      <c r="F26" s="31">
        <f t="shared" si="12"/>
        <v>6936.9041561639997</v>
      </c>
      <c r="G26" s="30">
        <f t="shared" si="12"/>
        <v>7152.303511577592</v>
      </c>
      <c r="H26" s="30">
        <f t="shared" si="12"/>
        <v>7419.2438877961622</v>
      </c>
      <c r="I26" s="30">
        <f t="shared" si="12"/>
        <v>7752.0536886034961</v>
      </c>
      <c r="J26" s="30">
        <f t="shared" si="12"/>
        <v>8169.0446140352669</v>
      </c>
      <c r="K26" s="30">
        <f t="shared" si="12"/>
        <v>8693.6190167370714</v>
      </c>
      <c r="L26" s="30">
        <f t="shared" si="12"/>
        <v>9355.6851033899766</v>
      </c>
      <c r="M26" s="30">
        <f t="shared" si="12"/>
        <v>10193.465562132391</v>
      </c>
      <c r="N26" s="30">
        <f t="shared" si="12"/>
        <v>11255.808988405195</v>
      </c>
      <c r="O26" s="30">
        <f t="shared" si="12"/>
        <v>12605.143887181839</v>
      </c>
      <c r="P26" s="30">
        <f t="shared" si="12"/>
        <v>14321.253887818391</v>
      </c>
      <c r="Q26" s="30">
        <f t="shared" si="12"/>
        <v>16506.1024686319</v>
      </c>
      <c r="R26" s="31">
        <f t="shared" si="12"/>
        <v>19289.998954911571</v>
      </c>
      <c r="S26" s="65">
        <f t="shared" si="7"/>
        <v>132713.72357122085</v>
      </c>
      <c r="T26" s="3">
        <v>119359.66452966206</v>
      </c>
      <c r="U26" s="73">
        <f t="shared" si="8"/>
        <v>-13354.059041558794</v>
      </c>
    </row>
    <row r="27" spans="1:26" ht="14.25" customHeight="1" x14ac:dyDescent="0.25">
      <c r="A27" s="2" t="s">
        <v>34</v>
      </c>
      <c r="B27" s="30">
        <f t="shared" ref="B27:R27" si="13">4000*ROUNDUP((B8/700),0)</f>
        <v>8000</v>
      </c>
      <c r="C27" s="30">
        <f t="shared" si="13"/>
        <v>8000</v>
      </c>
      <c r="D27" s="30">
        <f t="shared" si="13"/>
        <v>12000</v>
      </c>
      <c r="E27" s="30">
        <f t="shared" si="13"/>
        <v>12000</v>
      </c>
      <c r="F27" s="31">
        <f t="shared" si="13"/>
        <v>16000</v>
      </c>
      <c r="G27" s="30">
        <f t="shared" si="13"/>
        <v>20000</v>
      </c>
      <c r="H27" s="30">
        <f t="shared" si="13"/>
        <v>28000</v>
      </c>
      <c r="I27" s="30">
        <f t="shared" si="13"/>
        <v>32000</v>
      </c>
      <c r="J27" s="30">
        <f t="shared" si="13"/>
        <v>44000</v>
      </c>
      <c r="K27" s="30">
        <f t="shared" si="13"/>
        <v>52000</v>
      </c>
      <c r="L27" s="30">
        <f t="shared" si="13"/>
        <v>68000</v>
      </c>
      <c r="M27" s="30">
        <f t="shared" si="13"/>
        <v>88000</v>
      </c>
      <c r="N27" s="30">
        <f t="shared" si="13"/>
        <v>112000</v>
      </c>
      <c r="O27" s="30">
        <f t="shared" si="13"/>
        <v>140000</v>
      </c>
      <c r="P27" s="30">
        <f t="shared" si="13"/>
        <v>180000</v>
      </c>
      <c r="Q27" s="30">
        <f t="shared" si="13"/>
        <v>228000</v>
      </c>
      <c r="R27" s="31">
        <f t="shared" si="13"/>
        <v>292000</v>
      </c>
      <c r="S27" s="65">
        <f t="shared" si="7"/>
        <v>1284000</v>
      </c>
      <c r="T27" s="3">
        <v>1397360.5225206611</v>
      </c>
      <c r="U27" s="73">
        <f t="shared" si="8"/>
        <v>113360.52252066112</v>
      </c>
    </row>
    <row r="28" spans="1:26" ht="14.25" customHeight="1" x14ac:dyDescent="0.25">
      <c r="A28" s="2" t="s">
        <v>35</v>
      </c>
      <c r="B28" s="30">
        <f t="shared" ref="B28:R28" si="14">1000*ROUNDUP((B8/400),0)</f>
        <v>3000</v>
      </c>
      <c r="C28" s="30">
        <f t="shared" si="14"/>
        <v>4000</v>
      </c>
      <c r="D28" s="30">
        <f t="shared" si="14"/>
        <v>5000</v>
      </c>
      <c r="E28" s="30">
        <f t="shared" si="14"/>
        <v>6000</v>
      </c>
      <c r="F28" s="31">
        <f t="shared" si="14"/>
        <v>7000</v>
      </c>
      <c r="G28" s="30">
        <f t="shared" si="14"/>
        <v>9000</v>
      </c>
      <c r="H28" s="30">
        <f t="shared" si="14"/>
        <v>11000</v>
      </c>
      <c r="I28" s="30">
        <f t="shared" si="14"/>
        <v>14000</v>
      </c>
      <c r="J28" s="30">
        <f t="shared" si="14"/>
        <v>18000</v>
      </c>
      <c r="K28" s="30">
        <f t="shared" si="14"/>
        <v>23000</v>
      </c>
      <c r="L28" s="30">
        <f t="shared" si="14"/>
        <v>30000</v>
      </c>
      <c r="M28" s="30">
        <f t="shared" si="14"/>
        <v>38000</v>
      </c>
      <c r="N28" s="30">
        <f t="shared" si="14"/>
        <v>48000</v>
      </c>
      <c r="O28" s="30">
        <f t="shared" si="14"/>
        <v>61000</v>
      </c>
      <c r="P28" s="30">
        <f t="shared" si="14"/>
        <v>78000</v>
      </c>
      <c r="Q28" s="30">
        <f t="shared" si="14"/>
        <v>100000</v>
      </c>
      <c r="R28" s="31">
        <f t="shared" si="14"/>
        <v>127000</v>
      </c>
      <c r="S28" s="65">
        <f t="shared" si="7"/>
        <v>557000</v>
      </c>
      <c r="T28" s="3">
        <v>517759.26755905431</v>
      </c>
      <c r="U28" s="73">
        <f t="shared" si="8"/>
        <v>-39240.732440945692</v>
      </c>
    </row>
    <row r="29" spans="1:26" ht="14.25" customHeight="1" x14ac:dyDescent="0.25">
      <c r="A29" s="2" t="s">
        <v>36</v>
      </c>
      <c r="B29" s="30">
        <f t="shared" ref="B29:R29" si="15">4000*5</f>
        <v>20000</v>
      </c>
      <c r="C29" s="30">
        <f t="shared" si="15"/>
        <v>20000</v>
      </c>
      <c r="D29" s="30">
        <f t="shared" si="15"/>
        <v>20000</v>
      </c>
      <c r="E29" s="30">
        <f t="shared" si="15"/>
        <v>20000</v>
      </c>
      <c r="F29" s="31">
        <f t="shared" si="15"/>
        <v>20000</v>
      </c>
      <c r="G29" s="30">
        <f t="shared" si="15"/>
        <v>20000</v>
      </c>
      <c r="H29" s="30">
        <f t="shared" si="15"/>
        <v>20000</v>
      </c>
      <c r="I29" s="30">
        <f t="shared" si="15"/>
        <v>20000</v>
      </c>
      <c r="J29" s="30">
        <f t="shared" si="15"/>
        <v>20000</v>
      </c>
      <c r="K29" s="30">
        <f t="shared" si="15"/>
        <v>20000</v>
      </c>
      <c r="L29" s="30">
        <f t="shared" si="15"/>
        <v>20000</v>
      </c>
      <c r="M29" s="30">
        <f t="shared" si="15"/>
        <v>20000</v>
      </c>
      <c r="N29" s="30">
        <f t="shared" si="15"/>
        <v>20000</v>
      </c>
      <c r="O29" s="30">
        <f t="shared" si="15"/>
        <v>20000</v>
      </c>
      <c r="P29" s="30">
        <f t="shared" si="15"/>
        <v>20000</v>
      </c>
      <c r="Q29" s="30">
        <f t="shared" si="15"/>
        <v>20000</v>
      </c>
      <c r="R29" s="31">
        <f t="shared" si="15"/>
        <v>20000</v>
      </c>
      <c r="S29" s="65">
        <f t="shared" si="7"/>
        <v>240000</v>
      </c>
      <c r="T29" s="3">
        <v>241439.73499250234</v>
      </c>
      <c r="U29" s="73">
        <f t="shared" si="8"/>
        <v>1439.7349925023445</v>
      </c>
    </row>
    <row r="30" spans="1:26" ht="14.25" customHeight="1" x14ac:dyDescent="0.25">
      <c r="A30" s="2" t="s">
        <v>37</v>
      </c>
      <c r="B30" s="30">
        <f t="shared" ref="B30:R30" si="16">3000*ROUNDUP((B8/500),0)</f>
        <v>6000</v>
      </c>
      <c r="C30" s="30">
        <f t="shared" si="16"/>
        <v>9000</v>
      </c>
      <c r="D30" s="30">
        <f t="shared" si="16"/>
        <v>12000</v>
      </c>
      <c r="E30" s="30">
        <f t="shared" si="16"/>
        <v>15000</v>
      </c>
      <c r="F30" s="31">
        <f t="shared" si="16"/>
        <v>18000</v>
      </c>
      <c r="G30" s="30">
        <f t="shared" si="16"/>
        <v>21000</v>
      </c>
      <c r="H30" s="30">
        <f t="shared" si="16"/>
        <v>27000</v>
      </c>
      <c r="I30" s="30">
        <f t="shared" si="16"/>
        <v>36000</v>
      </c>
      <c r="J30" s="30">
        <f t="shared" si="16"/>
        <v>45000</v>
      </c>
      <c r="K30" s="30">
        <f t="shared" si="16"/>
        <v>57000</v>
      </c>
      <c r="L30" s="30">
        <f t="shared" si="16"/>
        <v>72000</v>
      </c>
      <c r="M30" s="30">
        <f t="shared" si="16"/>
        <v>90000</v>
      </c>
      <c r="N30" s="30">
        <f t="shared" si="16"/>
        <v>114000</v>
      </c>
      <c r="O30" s="30">
        <f t="shared" si="16"/>
        <v>147000</v>
      </c>
      <c r="P30" s="30">
        <f t="shared" si="16"/>
        <v>189000</v>
      </c>
      <c r="Q30" s="30">
        <f t="shared" si="16"/>
        <v>240000</v>
      </c>
      <c r="R30" s="31">
        <f t="shared" si="16"/>
        <v>306000</v>
      </c>
      <c r="S30" s="65">
        <f t="shared" si="7"/>
        <v>1344000</v>
      </c>
      <c r="T30" s="3">
        <v>1313542.9643718803</v>
      </c>
      <c r="U30" s="73">
        <f t="shared" si="8"/>
        <v>-30457.035628119716</v>
      </c>
    </row>
    <row r="31" spans="1:26" ht="14.25" customHeight="1" x14ac:dyDescent="0.25">
      <c r="A31" s="13" t="s">
        <v>38</v>
      </c>
      <c r="B31" s="30">
        <f t="shared" ref="B31:S31" si="17">SUM(B13:B30)</f>
        <v>219720</v>
      </c>
      <c r="C31" s="30">
        <f t="shared" si="17"/>
        <v>203659.68</v>
      </c>
      <c r="D31" s="30">
        <f t="shared" si="17"/>
        <v>199820.91103999998</v>
      </c>
      <c r="E31" s="30">
        <f t="shared" si="17"/>
        <v>122827.60430912</v>
      </c>
      <c r="F31" s="67">
        <f t="shared" si="17"/>
        <v>131250.03155636735</v>
      </c>
      <c r="G31" s="30">
        <f t="shared" si="17"/>
        <v>128201.30032903748</v>
      </c>
      <c r="H31" s="30">
        <f t="shared" si="17"/>
        <v>154329.66182050991</v>
      </c>
      <c r="I31" s="30">
        <f t="shared" si="17"/>
        <v>183240.34780661168</v>
      </c>
      <c r="J31" s="30">
        <f t="shared" si="17"/>
        <v>224706.84449684969</v>
      </c>
      <c r="K31" s="30">
        <f t="shared" si="17"/>
        <v>270717.66726697388</v>
      </c>
      <c r="L31" s="30">
        <f t="shared" si="17"/>
        <v>335536.13876719261</v>
      </c>
      <c r="M31" s="30">
        <f t="shared" si="17"/>
        <v>415776.78534447215</v>
      </c>
      <c r="N31" s="30">
        <f t="shared" si="17"/>
        <v>517502.97167023539</v>
      </c>
      <c r="O31" s="30">
        <f t="shared" si="17"/>
        <v>647351.67779456079</v>
      </c>
      <c r="P31" s="30">
        <f t="shared" si="17"/>
        <v>817692.96422144875</v>
      </c>
      <c r="Q31" s="30">
        <f t="shared" si="17"/>
        <v>1029833.7682750116</v>
      </c>
      <c r="R31" s="31">
        <f t="shared" si="17"/>
        <v>1303278.3558554647</v>
      </c>
      <c r="S31" s="65">
        <f t="shared" si="17"/>
        <v>6028168.4836483691</v>
      </c>
      <c r="T31" s="30">
        <v>5980078.0939264083</v>
      </c>
      <c r="U31" s="73">
        <f t="shared" si="8"/>
        <v>-48090.389721960761</v>
      </c>
    </row>
    <row r="32" spans="1:26" ht="14.25" customHeight="1" x14ac:dyDescent="0.25">
      <c r="A32" s="46" t="s">
        <v>39</v>
      </c>
      <c r="B32" s="68">
        <f t="shared" ref="B32:S32" si="18">B10-B31</f>
        <v>-179720</v>
      </c>
      <c r="C32" s="68">
        <f t="shared" si="18"/>
        <v>-153709.68</v>
      </c>
      <c r="D32" s="68">
        <f t="shared" si="18"/>
        <v>-137988.81103999997</v>
      </c>
      <c r="E32" s="68">
        <f t="shared" si="18"/>
        <v>-46644.180509119993</v>
      </c>
      <c r="F32" s="69">
        <f t="shared" si="18"/>
        <v>-37559.615939967349</v>
      </c>
      <c r="G32" s="68">
        <f t="shared" si="18"/>
        <v>-12970.949171278276</v>
      </c>
      <c r="H32" s="68">
        <f t="shared" si="18"/>
        <v>-12405.273040893662</v>
      </c>
      <c r="I32" s="68">
        <f t="shared" si="18"/>
        <v>-8034.9789462620975</v>
      </c>
      <c r="J32" s="68">
        <f t="shared" si="18"/>
        <v>-7802.3830933229474</v>
      </c>
      <c r="K32" s="68">
        <f t="shared" si="18"/>
        <v>-1355.7655932666967</v>
      </c>
      <c r="L32" s="68">
        <f t="shared" si="18"/>
        <v>32.3715718050953</v>
      </c>
      <c r="M32" s="68">
        <f t="shared" si="18"/>
        <v>3569.7708687668783</v>
      </c>
      <c r="N32" s="68">
        <f t="shared" si="18"/>
        <v>8077.927170283976</v>
      </c>
      <c r="O32" s="68">
        <f t="shared" si="18"/>
        <v>13162.710923623061</v>
      </c>
      <c r="P32" s="68">
        <f t="shared" si="18"/>
        <v>14432.424560390296</v>
      </c>
      <c r="Q32" s="68">
        <f t="shared" si="18"/>
        <v>20776.478588178521</v>
      </c>
      <c r="R32" s="69">
        <f t="shared" si="18"/>
        <v>25721.53963569249</v>
      </c>
      <c r="S32" s="70">
        <f t="shared" si="18"/>
        <v>364859.81289011613</v>
      </c>
      <c r="T32" s="68">
        <v>210163.66331582796</v>
      </c>
      <c r="U32" s="68">
        <f t="shared" si="8"/>
        <v>-154696.14957428817</v>
      </c>
      <c r="V32" s="71"/>
      <c r="W32" s="71"/>
      <c r="X32" s="71"/>
      <c r="Y32" s="71"/>
      <c r="Z32" s="71"/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Factset 2.0</vt:lpstr>
      <vt:lpstr>AirBnB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2021-06-28T16:44:46Z</dcterms:created>
  <dcterms:modified xsi:type="dcterms:W3CDTF">2021-06-28T16:44:46Z</dcterms:modified>
</cp:coreProperties>
</file>