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AFE5D50B-01FD-4DE3-B771-F2C56CDC4EC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ctset 2.0" sheetId="2" state="hidden" r:id="rId1"/>
    <sheet name="AirBnB 2.0" sheetId="3" r:id="rId2"/>
  </sheets>
  <calcPr calcId="181029"/>
</workbook>
</file>

<file path=xl/calcChain.xml><?xml version="1.0" encoding="utf-8"?>
<calcChain xmlns="http://schemas.openxmlformats.org/spreadsheetml/2006/main">
  <c r="R30" i="3" l="1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26" i="3"/>
  <c r="S22" i="3"/>
  <c r="S21" i="3"/>
  <c r="S20" i="3"/>
  <c r="S19" i="3"/>
  <c r="S18" i="3"/>
  <c r="S17" i="3"/>
  <c r="S16" i="3"/>
  <c r="S15" i="3"/>
  <c r="S14" i="3"/>
  <c r="B8" i="3"/>
  <c r="C8" i="3" s="1"/>
  <c r="B6" i="3"/>
  <c r="C6" i="3" s="1"/>
  <c r="O2" i="3"/>
  <c r="M2" i="3"/>
  <c r="S19" i="2"/>
  <c r="S18" i="2"/>
  <c r="S16" i="2"/>
  <c r="S15" i="2"/>
  <c r="S14" i="2"/>
  <c r="S13" i="2"/>
  <c r="R12" i="2"/>
  <c r="Q12" i="2"/>
  <c r="P12" i="2"/>
  <c r="O12" i="2"/>
  <c r="N12" i="2"/>
  <c r="M12" i="2"/>
  <c r="L12" i="2"/>
  <c r="K12" i="2"/>
  <c r="J12" i="2"/>
  <c r="I12" i="2"/>
  <c r="H12" i="2"/>
  <c r="G12" i="2"/>
  <c r="S12" i="2" s="1"/>
  <c r="F12" i="2"/>
  <c r="E12" i="2"/>
  <c r="D12" i="2"/>
  <c r="C12" i="2"/>
  <c r="B12" i="2"/>
  <c r="S10" i="2"/>
  <c r="S9" i="2"/>
  <c r="D9" i="2"/>
  <c r="E9" i="2" s="1"/>
  <c r="C9" i="2"/>
  <c r="C6" i="2"/>
  <c r="D6" i="2" s="1"/>
  <c r="B6" i="2"/>
  <c r="B25" i="2" s="1"/>
  <c r="J2" i="2"/>
  <c r="I2" i="2"/>
  <c r="S30" i="3" l="1"/>
  <c r="B28" i="3"/>
  <c r="B25" i="3"/>
  <c r="B9" i="3"/>
  <c r="B31" i="3"/>
  <c r="B7" i="3"/>
  <c r="B24" i="3"/>
  <c r="B29" i="3"/>
  <c r="D6" i="3"/>
  <c r="C7" i="3"/>
  <c r="D8" i="3"/>
  <c r="C31" i="3"/>
  <c r="C29" i="3"/>
  <c r="C24" i="3"/>
  <c r="C9" i="3"/>
  <c r="C10" i="3" s="1"/>
  <c r="C28" i="3"/>
  <c r="C25" i="3"/>
  <c r="D25" i="2"/>
  <c r="D11" i="2"/>
  <c r="D23" i="2"/>
  <c r="D7" i="2"/>
  <c r="E6" i="2"/>
  <c r="D22" i="2"/>
  <c r="B22" i="2"/>
  <c r="C22" i="2"/>
  <c r="B7" i="2"/>
  <c r="B23" i="2"/>
  <c r="C7" i="2"/>
  <c r="B11" i="2"/>
  <c r="C23" i="2"/>
  <c r="C11" i="2"/>
  <c r="C25" i="2"/>
  <c r="B11" i="3" l="1"/>
  <c r="C11" i="3"/>
  <c r="C27" i="3" s="1"/>
  <c r="D17" i="2"/>
  <c r="D26" i="2" s="1"/>
  <c r="D27" i="2" s="1"/>
  <c r="D21" i="2"/>
  <c r="D24" i="2"/>
  <c r="B17" i="2"/>
  <c r="B26" i="2" s="1"/>
  <c r="B27" i="2" s="1"/>
  <c r="B21" i="2"/>
  <c r="B24" i="2"/>
  <c r="C23" i="3"/>
  <c r="C21" i="2"/>
  <c r="C17" i="2"/>
  <c r="C26" i="2" s="1"/>
  <c r="C27" i="2" s="1"/>
  <c r="C24" i="2"/>
  <c r="E8" i="3"/>
  <c r="D31" i="3"/>
  <c r="D29" i="3"/>
  <c r="D24" i="3"/>
  <c r="D9" i="3"/>
  <c r="D10" i="3" s="1"/>
  <c r="D28" i="3"/>
  <c r="D25" i="3"/>
  <c r="E11" i="2"/>
  <c r="E23" i="2"/>
  <c r="E7" i="2"/>
  <c r="F6" i="2"/>
  <c r="E22" i="2"/>
  <c r="E25" i="2"/>
  <c r="E6" i="3"/>
  <c r="D7" i="3"/>
  <c r="C32" i="3" l="1"/>
  <c r="C33" i="3" s="1"/>
  <c r="D11" i="3"/>
  <c r="B23" i="3"/>
  <c r="B27" i="3"/>
  <c r="E31" i="3"/>
  <c r="E29" i="3"/>
  <c r="E24" i="3"/>
  <c r="E9" i="3"/>
  <c r="E10" i="3" s="1"/>
  <c r="E28" i="3"/>
  <c r="E25" i="3"/>
  <c r="F8" i="3"/>
  <c r="D27" i="3"/>
  <c r="D23" i="3"/>
  <c r="F23" i="2"/>
  <c r="F7" i="2"/>
  <c r="G6" i="2"/>
  <c r="F22" i="2"/>
  <c r="F25" i="2"/>
  <c r="F11" i="2"/>
  <c r="E17" i="2"/>
  <c r="E21" i="2"/>
  <c r="E24" i="2"/>
  <c r="E26" i="2" s="1"/>
  <c r="E27" i="2" s="1"/>
  <c r="E7" i="3"/>
  <c r="F6" i="3"/>
  <c r="D32" i="3" l="1"/>
  <c r="D33" i="3" s="1"/>
  <c r="B32" i="3"/>
  <c r="B33" i="3" s="1"/>
  <c r="F31" i="3"/>
  <c r="F29" i="3"/>
  <c r="F24" i="3"/>
  <c r="F9" i="3"/>
  <c r="F10" i="3" s="1"/>
  <c r="F28" i="3"/>
  <c r="F25" i="3"/>
  <c r="G8" i="3"/>
  <c r="F7" i="3"/>
  <c r="G6" i="3"/>
  <c r="F17" i="2"/>
  <c r="F26" i="2" s="1"/>
  <c r="F27" i="2" s="1"/>
  <c r="F21" i="2"/>
  <c r="F24" i="2"/>
  <c r="E11" i="3"/>
  <c r="H6" i="2"/>
  <c r="G22" i="2"/>
  <c r="G25" i="2"/>
  <c r="G11" i="2"/>
  <c r="G23" i="2"/>
  <c r="G7" i="2"/>
  <c r="F11" i="3" l="1"/>
  <c r="F23" i="3" s="1"/>
  <c r="G17" i="2"/>
  <c r="G21" i="2"/>
  <c r="G24" i="2"/>
  <c r="G26" i="2" s="1"/>
  <c r="F27" i="3"/>
  <c r="G31" i="3"/>
  <c r="G29" i="3"/>
  <c r="G24" i="3"/>
  <c r="G9" i="3"/>
  <c r="G10" i="3" s="1"/>
  <c r="G28" i="3"/>
  <c r="G25" i="3"/>
  <c r="H8" i="3"/>
  <c r="G7" i="3"/>
  <c r="H6" i="3"/>
  <c r="H22" i="2"/>
  <c r="I6" i="2"/>
  <c r="H25" i="2"/>
  <c r="H11" i="2"/>
  <c r="H23" i="2"/>
  <c r="H7" i="2"/>
  <c r="E27" i="3"/>
  <c r="E23" i="3"/>
  <c r="E32" i="3" s="1"/>
  <c r="E33" i="3" s="1"/>
  <c r="G27" i="2" l="1"/>
  <c r="F32" i="3"/>
  <c r="F33" i="3" s="1"/>
  <c r="H24" i="3"/>
  <c r="H28" i="3"/>
  <c r="H9" i="3"/>
  <c r="H10" i="3" s="1"/>
  <c r="H25" i="3"/>
  <c r="I8" i="3"/>
  <c r="H31" i="3"/>
  <c r="H29" i="3"/>
  <c r="H7" i="3"/>
  <c r="I6" i="3"/>
  <c r="H21" i="2"/>
  <c r="H24" i="2"/>
  <c r="H17" i="2"/>
  <c r="G11" i="3"/>
  <c r="J6" i="2"/>
  <c r="I22" i="2"/>
  <c r="I25" i="2"/>
  <c r="I11" i="2"/>
  <c r="I23" i="2"/>
  <c r="I7" i="2"/>
  <c r="H11" i="3" l="1"/>
  <c r="H23" i="3" s="1"/>
  <c r="H27" i="3"/>
  <c r="I9" i="3"/>
  <c r="I10" i="3" s="1"/>
  <c r="I25" i="3"/>
  <c r="I28" i="3"/>
  <c r="J8" i="3"/>
  <c r="I31" i="3"/>
  <c r="I29" i="3"/>
  <c r="I24" i="3"/>
  <c r="K6" i="2"/>
  <c r="J7" i="2"/>
  <c r="J22" i="2"/>
  <c r="J25" i="2"/>
  <c r="J11" i="2"/>
  <c r="J23" i="2"/>
  <c r="G27" i="3"/>
  <c r="G23" i="3"/>
  <c r="H26" i="2"/>
  <c r="I24" i="2"/>
  <c r="I17" i="2"/>
  <c r="I26" i="2" s="1"/>
  <c r="I27" i="2" s="1"/>
  <c r="I21" i="2"/>
  <c r="I7" i="3"/>
  <c r="J6" i="3"/>
  <c r="G32" i="3" l="1"/>
  <c r="G33" i="3" s="1"/>
  <c r="H32" i="3"/>
  <c r="H33" i="3" s="1"/>
  <c r="I11" i="3"/>
  <c r="H27" i="2"/>
  <c r="L6" i="2"/>
  <c r="K25" i="2"/>
  <c r="K22" i="2"/>
  <c r="K7" i="2"/>
  <c r="K11" i="2"/>
  <c r="K23" i="2"/>
  <c r="J7" i="3"/>
  <c r="K6" i="3"/>
  <c r="J9" i="3"/>
  <c r="J10" i="3" s="1"/>
  <c r="J28" i="3"/>
  <c r="J25" i="3"/>
  <c r="K8" i="3"/>
  <c r="J31" i="3"/>
  <c r="J29" i="3"/>
  <c r="J24" i="3"/>
  <c r="J24" i="2"/>
  <c r="J17" i="2"/>
  <c r="J26" i="2" s="1"/>
  <c r="J21" i="2"/>
  <c r="J27" i="2" l="1"/>
  <c r="K24" i="2"/>
  <c r="K17" i="2"/>
  <c r="K26" i="2" s="1"/>
  <c r="K21" i="2"/>
  <c r="I23" i="3"/>
  <c r="I27" i="3"/>
  <c r="K7" i="3"/>
  <c r="L6" i="3"/>
  <c r="K9" i="3"/>
  <c r="K10" i="3" s="1"/>
  <c r="K28" i="3"/>
  <c r="K25" i="3"/>
  <c r="L8" i="3"/>
  <c r="K31" i="3"/>
  <c r="K29" i="3"/>
  <c r="K24" i="3"/>
  <c r="J11" i="3"/>
  <c r="L22" i="2"/>
  <c r="L7" i="2"/>
  <c r="L23" i="2"/>
  <c r="L25" i="2"/>
  <c r="L11" i="2"/>
  <c r="M6" i="2"/>
  <c r="K11" i="3" l="1"/>
  <c r="K27" i="3" s="1"/>
  <c r="K27" i="2"/>
  <c r="M22" i="2"/>
  <c r="M25" i="2"/>
  <c r="M11" i="2"/>
  <c r="M7" i="2"/>
  <c r="M23" i="2"/>
  <c r="N6" i="2"/>
  <c r="L28" i="3"/>
  <c r="L25" i="3"/>
  <c r="M8" i="3"/>
  <c r="L31" i="3"/>
  <c r="L29" i="3"/>
  <c r="L24" i="3"/>
  <c r="L9" i="3"/>
  <c r="L10" i="3" s="1"/>
  <c r="I32" i="3"/>
  <c r="I33" i="3" s="1"/>
  <c r="L17" i="2"/>
  <c r="L26" i="2" s="1"/>
  <c r="L21" i="2"/>
  <c r="L24" i="2"/>
  <c r="M6" i="3"/>
  <c r="L7" i="3"/>
  <c r="J23" i="3"/>
  <c r="J27" i="3"/>
  <c r="K23" i="3" l="1"/>
  <c r="K32" i="3" s="1"/>
  <c r="K33" i="3" s="1"/>
  <c r="J32" i="3"/>
  <c r="J33" i="3" s="1"/>
  <c r="L27" i="2"/>
  <c r="N25" i="2"/>
  <c r="N11" i="2"/>
  <c r="N23" i="2"/>
  <c r="N7" i="2"/>
  <c r="O6" i="2"/>
  <c r="N22" i="2"/>
  <c r="M26" i="2"/>
  <c r="M27" i="2" s="1"/>
  <c r="N6" i="3"/>
  <c r="M7" i="3"/>
  <c r="L11" i="3"/>
  <c r="M17" i="2"/>
  <c r="M21" i="2"/>
  <c r="M24" i="2"/>
  <c r="M28" i="3"/>
  <c r="M25" i="3"/>
  <c r="N8" i="3"/>
  <c r="M31" i="3"/>
  <c r="M29" i="3"/>
  <c r="M24" i="3"/>
  <c r="M9" i="3"/>
  <c r="M10" i="3" s="1"/>
  <c r="N25" i="3" l="1"/>
  <c r="O8" i="3"/>
  <c r="N29" i="3"/>
  <c r="N31" i="3"/>
  <c r="N24" i="3"/>
  <c r="N9" i="3"/>
  <c r="N10" i="3" s="1"/>
  <c r="N28" i="3"/>
  <c r="N17" i="2"/>
  <c r="N26" i="2" s="1"/>
  <c r="N27" i="2" s="1"/>
  <c r="N21" i="2"/>
  <c r="N24" i="2"/>
  <c r="O6" i="3"/>
  <c r="N7" i="3"/>
  <c r="M11" i="3"/>
  <c r="O25" i="2"/>
  <c r="O11" i="2"/>
  <c r="O23" i="2"/>
  <c r="O7" i="2"/>
  <c r="P6" i="2"/>
  <c r="O22" i="2"/>
  <c r="L23" i="3"/>
  <c r="L27" i="3"/>
  <c r="N11" i="3" l="1"/>
  <c r="N27" i="3" s="1"/>
  <c r="M23" i="3"/>
  <c r="M27" i="3"/>
  <c r="O17" i="2"/>
  <c r="O21" i="2"/>
  <c r="O24" i="2"/>
  <c r="P25" i="2"/>
  <c r="P11" i="2"/>
  <c r="P23" i="2"/>
  <c r="P7" i="2"/>
  <c r="Q6" i="2"/>
  <c r="P22" i="2"/>
  <c r="N23" i="3"/>
  <c r="P8" i="3"/>
  <c r="O31" i="3"/>
  <c r="O29" i="3"/>
  <c r="O24" i="3"/>
  <c r="O9" i="3"/>
  <c r="O10" i="3" s="1"/>
  <c r="O28" i="3"/>
  <c r="O25" i="3"/>
  <c r="O26" i="2"/>
  <c r="O27" i="2" s="1"/>
  <c r="P6" i="3"/>
  <c r="O7" i="3"/>
  <c r="L32" i="3"/>
  <c r="L33" i="3" s="1"/>
  <c r="O11" i="3" l="1"/>
  <c r="Q11" i="2"/>
  <c r="Q23" i="2"/>
  <c r="Q7" i="2"/>
  <c r="R6" i="2"/>
  <c r="Q22" i="2"/>
  <c r="Q25" i="2"/>
  <c r="P17" i="2"/>
  <c r="P21" i="2"/>
  <c r="P24" i="2"/>
  <c r="P26" i="2" s="1"/>
  <c r="P27" i="2" s="1"/>
  <c r="O27" i="3"/>
  <c r="O23" i="3"/>
  <c r="Q8" i="3"/>
  <c r="P31" i="3"/>
  <c r="P29" i="3"/>
  <c r="P24" i="3"/>
  <c r="P9" i="3"/>
  <c r="P10" i="3" s="1"/>
  <c r="P28" i="3"/>
  <c r="P25" i="3"/>
  <c r="N32" i="3"/>
  <c r="N33" i="3" s="1"/>
  <c r="Q6" i="3"/>
  <c r="P7" i="3"/>
  <c r="M32" i="3"/>
  <c r="M33" i="3" s="1"/>
  <c r="Q7" i="3" l="1"/>
  <c r="R6" i="3"/>
  <c r="P11" i="3"/>
  <c r="R23" i="2"/>
  <c r="S23" i="2" s="1"/>
  <c r="R7" i="2"/>
  <c r="R22" i="2"/>
  <c r="S22" i="2" s="1"/>
  <c r="R25" i="2"/>
  <c r="S25" i="2" s="1"/>
  <c r="R11" i="2"/>
  <c r="S6" i="2"/>
  <c r="Q17" i="2"/>
  <c r="Q21" i="2"/>
  <c r="Q24" i="2"/>
  <c r="Q26" i="2" s="1"/>
  <c r="Q27" i="2" s="1"/>
  <c r="Q31" i="3"/>
  <c r="Q29" i="3"/>
  <c r="Q24" i="3"/>
  <c r="Q9" i="3"/>
  <c r="Q10" i="3" s="1"/>
  <c r="Q28" i="3"/>
  <c r="Q25" i="3"/>
  <c r="R8" i="3"/>
  <c r="O32" i="3"/>
  <c r="O33" i="3" s="1"/>
  <c r="Q11" i="3" l="1"/>
  <c r="Q27" i="3" s="1"/>
  <c r="R31" i="3"/>
  <c r="S31" i="3" s="1"/>
  <c r="R29" i="3"/>
  <c r="S29" i="3" s="1"/>
  <c r="R24" i="3"/>
  <c r="S24" i="3" s="1"/>
  <c r="R9" i="3"/>
  <c r="R10" i="3" s="1"/>
  <c r="R28" i="3"/>
  <c r="S28" i="3" s="1"/>
  <c r="R25" i="3"/>
  <c r="S25" i="3" s="1"/>
  <c r="S8" i="3"/>
  <c r="T22" i="2"/>
  <c r="Q23" i="3"/>
  <c r="R17" i="2"/>
  <c r="S17" i="2" s="1"/>
  <c r="T17" i="2" s="1"/>
  <c r="R21" i="2"/>
  <c r="S21" i="2" s="1"/>
  <c r="R24" i="2"/>
  <c r="S24" i="2" s="1"/>
  <c r="S7" i="2"/>
  <c r="P27" i="3"/>
  <c r="P23" i="3"/>
  <c r="T25" i="2"/>
  <c r="R7" i="3"/>
  <c r="S7" i="3" s="1"/>
  <c r="S6" i="3"/>
  <c r="S11" i="2"/>
  <c r="T11" i="2" s="1"/>
  <c r="Q32" i="3" l="1"/>
  <c r="Q33" i="3" s="1"/>
  <c r="P32" i="3"/>
  <c r="P33" i="3" s="1"/>
  <c r="R11" i="3"/>
  <c r="S9" i="3"/>
  <c r="R26" i="2"/>
  <c r="T13" i="2"/>
  <c r="T18" i="2"/>
  <c r="T14" i="2"/>
  <c r="T16" i="2"/>
  <c r="T9" i="2"/>
  <c r="T19" i="2"/>
  <c r="T10" i="2"/>
  <c r="T12" i="2"/>
  <c r="T15" i="2"/>
  <c r="T24" i="2"/>
  <c r="T23" i="2"/>
  <c r="T21" i="2"/>
  <c r="S26" i="2" l="1"/>
  <c r="T26" i="2" s="1"/>
  <c r="R27" i="2"/>
  <c r="S27" i="2" s="1"/>
  <c r="T27" i="2" s="1"/>
  <c r="R27" i="3"/>
  <c r="S27" i="3" s="1"/>
  <c r="R23" i="3"/>
  <c r="S11" i="3"/>
  <c r="T27" i="3" l="1"/>
  <c r="T18" i="3"/>
  <c r="T22" i="3"/>
  <c r="T26" i="3"/>
  <c r="T17" i="3"/>
  <c r="T15" i="3"/>
  <c r="T19" i="3"/>
  <c r="T16" i="3"/>
  <c r="T21" i="3"/>
  <c r="T20" i="3"/>
  <c r="T14" i="3"/>
  <c r="T30" i="3"/>
  <c r="T31" i="3"/>
  <c r="T24" i="3"/>
  <c r="T28" i="3"/>
  <c r="T25" i="3"/>
  <c r="T29" i="3"/>
  <c r="R32" i="3"/>
  <c r="R33" i="3" s="1"/>
  <c r="S23" i="3"/>
  <c r="S32" i="3" l="1"/>
  <c r="T23" i="3"/>
  <c r="S33" i="3" l="1"/>
  <c r="T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theme="1"/>
            <rFont val="Arial"/>
          </rPr>
          <t>Administrator:
Assuming 50 users per day starting in January, growing by 30 per day monthly after that with 60% month to month retention</t>
        </r>
      </text>
    </comment>
    <comment ref="A10" authorId="0" shapeId="0" xr:uid="{00000000-0006-0000-0100-000002000000}">
      <text>
        <r>
          <rPr>
            <sz val="11"/>
            <color theme="1"/>
            <rFont val="Arial"/>
          </rPr>
          <t>Administrator:
Separate from product development &amp; technical labor costs below</t>
        </r>
      </text>
    </comment>
    <comment ref="A12" authorId="0" shapeId="0" xr:uid="{00000000-0006-0000-0100-000003000000}">
      <text>
        <r>
          <rPr>
            <sz val="11"/>
            <color theme="1"/>
            <rFont val="Arial"/>
          </rPr>
          <t>Administrator:
Assuming CPC of $30, conversion rate of 2%, and trying to add 1 users per day for 30 days of month</t>
        </r>
      </text>
    </comment>
    <comment ref="A24" authorId="0" shapeId="0" xr:uid="{00000000-0006-0000-0100-000004000000}">
      <text>
        <r>
          <rPr>
            <sz val="11"/>
            <color theme="1"/>
            <rFont val="Arial"/>
          </rPr>
          <t xml:space="preserve">Administrator:
Assume $50K cost of sales person per year.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200-000001000000}">
      <text>
        <r>
          <rPr>
            <sz val="11"/>
            <color theme="1"/>
            <rFont val="Arial"/>
          </rPr>
          <t>Administrator:
Assuming 50 users per day starting in January, growing by 30 per day monthly after that with 60% month to month retention</t>
        </r>
      </text>
    </comment>
    <comment ref="A8" authorId="0" shapeId="0" xr:uid="{00000000-0006-0000-0200-000002000000}">
      <text>
        <r>
          <rPr>
            <sz val="11"/>
            <color theme="1"/>
            <rFont val="Arial"/>
          </rPr>
          <t>Administrator:
Assuming 50 users per day starting in January, growing by 30 per day monthly after that with 60% month to month retention</t>
        </r>
      </text>
    </comment>
    <comment ref="A15" authorId="0" shapeId="0" xr:uid="{00000000-0006-0000-0200-000003000000}">
      <text>
        <r>
          <rPr>
            <sz val="11"/>
            <color theme="1"/>
            <rFont val="Arial"/>
          </rPr>
          <t>Administrator:
Separate from product development &amp; technical labor costs below</t>
        </r>
      </text>
    </comment>
    <comment ref="A25" authorId="0" shapeId="0" xr:uid="{00000000-0006-0000-0200-000004000000}">
      <text>
        <r>
          <rPr>
            <sz val="11"/>
            <color theme="1"/>
            <rFont val="Arial"/>
          </rPr>
          <t>Administrator:
Assuming CPC of $30, conversion rate of 2%, and trying to add 10 users per day for 30 days of month</t>
        </r>
      </text>
    </comment>
    <comment ref="A30" authorId="0" shapeId="0" xr:uid="{00000000-0006-0000-0200-000005000000}">
      <text>
        <r>
          <rPr>
            <sz val="11"/>
            <color theme="1"/>
            <rFont val="Arial"/>
          </rPr>
          <t xml:space="preserve">Administrator:
Assume $50K cost of sales person per year. </t>
        </r>
      </text>
    </comment>
  </commentList>
</comments>
</file>

<file path=xl/sharedStrings.xml><?xml version="1.0" encoding="utf-8"?>
<sst xmlns="http://schemas.openxmlformats.org/spreadsheetml/2006/main" count="118" uniqueCount="66">
  <si>
    <t>CPC</t>
  </si>
  <si>
    <t>Year</t>
  </si>
  <si>
    <t>YE</t>
  </si>
  <si>
    <t>Percentage</t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</si>
  <si>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</si>
  <si>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</si>
  <si>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</si>
  <si>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</si>
  <si>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</si>
  <si>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</si>
  <si>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</si>
  <si>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</si>
  <si>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</si>
  <si>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</si>
  <si>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</si>
  <si>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</si>
  <si>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</si>
  <si>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REVENUE</t>
  </si>
  <si>
    <t>User Count</t>
  </si>
  <si>
    <t>User Fees</t>
  </si>
  <si>
    <t>EXPENSES</t>
  </si>
  <si>
    <t>Company set-up</t>
  </si>
  <si>
    <t>Product Development</t>
  </si>
  <si>
    <t>Server Cost</t>
  </si>
  <si>
    <t>Marketing Cost</t>
  </si>
  <si>
    <t>Utilities</t>
  </si>
  <si>
    <t>Rent</t>
  </si>
  <si>
    <t>Supplies</t>
  </si>
  <si>
    <t>Insurance</t>
  </si>
  <si>
    <t>Bank Fees</t>
  </si>
  <si>
    <t>Miscellaneous</t>
  </si>
  <si>
    <t>Capital Expenses</t>
  </si>
  <si>
    <t>Labor</t>
  </si>
  <si>
    <t>Management</t>
  </si>
  <si>
    <t>Technical/ Prod. Dev.</t>
  </si>
  <si>
    <t>Customer Service</t>
  </si>
  <si>
    <t>Sales</t>
  </si>
  <si>
    <t>Support</t>
  </si>
  <si>
    <t>Total</t>
  </si>
  <si>
    <t>PROFIT/LOSS</t>
  </si>
  <si>
    <t>Factset2.0</t>
  </si>
  <si>
    <t>Assumptions</t>
  </si>
  <si>
    <t>Starting Users</t>
  </si>
  <si>
    <t>Growth</t>
  </si>
  <si>
    <t>Rentention</t>
  </si>
  <si>
    <t>Mo. Fee</t>
  </si>
  <si>
    <t>C.R.</t>
  </si>
  <si>
    <t>CAC</t>
  </si>
  <si>
    <t>LTCV</t>
  </si>
  <si>
    <t>AirBNB 2.0</t>
  </si>
  <si>
    <t>Host Intial</t>
  </si>
  <si>
    <t>Host Growth</t>
  </si>
  <si>
    <t>Host Fee</t>
  </si>
  <si>
    <t>Traveler Initial</t>
  </si>
  <si>
    <t>Traveler Growth</t>
  </si>
  <si>
    <t>Avg Bk Amt</t>
  </si>
  <si>
    <t>Transaction Fee</t>
  </si>
  <si>
    <t>Retention Rate</t>
  </si>
  <si>
    <t>Host Count</t>
  </si>
  <si>
    <t>Host Fees</t>
  </si>
  <si>
    <t>Traveler Count</t>
  </si>
  <si>
    <t>Traveler Fees</t>
  </si>
  <si>
    <t>Revenue</t>
  </si>
  <si>
    <t>Fixed Costs</t>
  </si>
  <si>
    <t>Variable Costs</t>
  </si>
  <si>
    <t>Growth in Trav.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</si>
</sst>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.00"/>
    <numFmt numFmtId="165" formatCode="0.0%"/>
    <numFmt numFmtId="166" formatCode="&quot;$&quot;#,##0"/>
  </numFmts>
  <fonts count="7" x14ac:knownFonts="1">
    <font>
      <sz val="11"/>
      <color theme="1"/>
      <name val="Arial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i/>
      <u/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6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3" fillId="0" borderId="2" xfId="0" applyFont="1" applyBorder="1"/>
    <xf numFmtId="3" fontId="3" fillId="0" borderId="0" xfId="0" applyNumberFormat="1" applyFont="1"/>
    <xf numFmtId="3" fontId="3" fillId="0" borderId="1" xfId="0" applyNumberFormat="1" applyFont="1" applyBorder="1"/>
    <xf numFmtId="0" fontId="5" fillId="0" borderId="0" xfId="0" applyFont="1" applyAlignment="1">
      <alignment horizontal="right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6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/>
    <xf numFmtId="9" fontId="3" fillId="2" borderId="13" xfId="0" applyNumberFormat="1" applyFont="1" applyFill="1" applyBorder="1"/>
    <xf numFmtId="6" fontId="3" fillId="2" borderId="14" xfId="0" applyNumberFormat="1" applyFont="1" applyFill="1" applyBorder="1"/>
    <xf numFmtId="0" fontId="4" fillId="3" borderId="7" xfId="0" applyFont="1" applyFill="1" applyBorder="1"/>
    <xf numFmtId="0" fontId="3" fillId="3" borderId="15" xfId="0" applyFont="1" applyFill="1" applyBorder="1"/>
    <xf numFmtId="0" fontId="3" fillId="3" borderId="6" xfId="0" applyFont="1" applyFill="1" applyBorder="1"/>
    <xf numFmtId="0" fontId="3" fillId="3" borderId="4" xfId="0" applyFont="1" applyFill="1" applyBorder="1"/>
    <xf numFmtId="1" fontId="3" fillId="0" borderId="0" xfId="0" applyNumberFormat="1" applyFont="1"/>
    <xf numFmtId="6" fontId="3" fillId="0" borderId="1" xfId="0" applyNumberFormat="1" applyFont="1" applyBorder="1"/>
    <xf numFmtId="166" fontId="3" fillId="0" borderId="0" xfId="0" applyNumberFormat="1" applyFont="1"/>
    <xf numFmtId="166" fontId="3" fillId="0" borderId="1" xfId="0" applyNumberFormat="1" applyFont="1" applyBorder="1"/>
    <xf numFmtId="10" fontId="3" fillId="0" borderId="0" xfId="0" applyNumberFormat="1" applyFont="1"/>
    <xf numFmtId="166" fontId="3" fillId="4" borderId="4" xfId="0" applyNumberFormat="1" applyFont="1" applyFill="1" applyBorder="1"/>
    <xf numFmtId="6" fontId="3" fillId="3" borderId="15" xfId="0" applyNumberFormat="1" applyFont="1" applyFill="1" applyBorder="1"/>
    <xf numFmtId="6" fontId="3" fillId="3" borderId="6" xfId="0" applyNumberFormat="1" applyFont="1" applyFill="1" applyBorder="1"/>
    <xf numFmtId="6" fontId="3" fillId="3" borderId="4" xfId="0" applyNumberFormat="1" applyFont="1" applyFill="1" applyBorder="1"/>
    <xf numFmtId="10" fontId="3" fillId="3" borderId="15" xfId="0" applyNumberFormat="1" applyFont="1" applyFill="1" applyBorder="1"/>
    <xf numFmtId="0" fontId="6" fillId="2" borderId="4" xfId="0" applyFont="1" applyFill="1" applyBorder="1"/>
    <xf numFmtId="0" fontId="3" fillId="2" borderId="4" xfId="0" applyFont="1" applyFill="1" applyBorder="1"/>
    <xf numFmtId="9" fontId="3" fillId="2" borderId="4" xfId="0" applyNumberFormat="1" applyFont="1" applyFill="1" applyBorder="1"/>
    <xf numFmtId="6" fontId="3" fillId="2" borderId="4" xfId="0" applyNumberFormat="1" applyFont="1" applyFill="1" applyBorder="1"/>
    <xf numFmtId="164" fontId="3" fillId="2" borderId="4" xfId="0" applyNumberFormat="1" applyFont="1" applyFill="1" applyBorder="1"/>
    <xf numFmtId="0" fontId="4" fillId="5" borderId="7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4" xfId="0" applyFont="1" applyFill="1" applyBorder="1"/>
    <xf numFmtId="38" fontId="3" fillId="0" borderId="0" xfId="0" applyNumberFormat="1" applyFont="1"/>
    <xf numFmtId="0" fontId="3" fillId="0" borderId="18" xfId="0" applyFont="1" applyBorder="1"/>
    <xf numFmtId="6" fontId="3" fillId="0" borderId="18" xfId="0" applyNumberFormat="1" applyFont="1" applyBorder="1"/>
    <xf numFmtId="6" fontId="3" fillId="0" borderId="19" xfId="0" applyNumberFormat="1" applyFont="1" applyBorder="1"/>
    <xf numFmtId="166" fontId="3" fillId="0" borderId="18" xfId="0" applyNumberFormat="1" applyFont="1" applyBorder="1"/>
    <xf numFmtId="0" fontId="4" fillId="5" borderId="15" xfId="0" applyFont="1" applyFill="1" applyBorder="1"/>
    <xf numFmtId="0" fontId="3" fillId="5" borderId="5" xfId="0" applyFont="1" applyFill="1" applyBorder="1"/>
    <xf numFmtId="0" fontId="4" fillId="6" borderId="4" xfId="0" applyFont="1" applyFill="1" applyBorder="1" applyAlignment="1">
      <alignment horizontal="right"/>
    </xf>
    <xf numFmtId="0" fontId="3" fillId="6" borderId="4" xfId="0" applyFont="1" applyFill="1" applyBorder="1"/>
    <xf numFmtId="0" fontId="3" fillId="6" borderId="5" xfId="0" applyFont="1" applyFill="1" applyBorder="1"/>
    <xf numFmtId="0" fontId="4" fillId="0" borderId="0" xfId="0" applyFont="1" applyAlignment="1">
      <alignment horizontal="right"/>
    </xf>
    <xf numFmtId="166" fontId="3" fillId="0" borderId="3" xfId="0" applyNumberFormat="1" applyFont="1" applyBorder="1"/>
    <xf numFmtId="6" fontId="3" fillId="5" borderId="7" xfId="0" applyNumberFormat="1" applyFont="1" applyFill="1" applyBorder="1"/>
    <xf numFmtId="6" fontId="3" fillId="5" borderId="8" xfId="0" applyNumberFormat="1" applyFont="1" applyFill="1" applyBorder="1"/>
    <xf numFmtId="6" fontId="6" fillId="5" borderId="7" xfId="0" applyNumberFormat="1" applyFont="1" applyFill="1" applyBorder="1"/>
    <xf numFmtId="0" fontId="3" fillId="5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17" customWidth="1"/>
    <col min="2" max="2" width="10.125" customWidth="1"/>
    <col min="3" max="3" width="11.875" customWidth="1"/>
    <col min="4" max="4" width="8.5" customWidth="1"/>
    <col min="5" max="5" width="11.625" customWidth="1"/>
    <col min="6" max="6" width="8.875" customWidth="1"/>
    <col min="7" max="14" width="8.5" customWidth="1"/>
    <col min="15" max="15" width="9.125" customWidth="1"/>
    <col min="16" max="16" width="8.5" customWidth="1"/>
    <col min="17" max="17" width="8.875" customWidth="1"/>
    <col min="18" max="18" width="8.625" customWidth="1"/>
    <col min="19" max="19" width="10.625" customWidth="1"/>
    <col min="20" max="26" width="7.625" customWidth="1"/>
  </cols>
  <sheetData>
    <row r="1" spans="1:26" ht="14.25" customHeight="1" x14ac:dyDescent="0.25">
      <c r="A1" s="1" t="s">
        <v>40</v>
      </c>
      <c r="B1" s="15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0</v>
      </c>
      <c r="H1" s="16" t="s">
        <v>46</v>
      </c>
      <c r="I1" s="16" t="s">
        <v>47</v>
      </c>
      <c r="J1" s="17" t="s">
        <v>48</v>
      </c>
    </row>
    <row r="2" spans="1:26" ht="14.25" customHeight="1" x14ac:dyDescent="0.25">
      <c r="B2" s="18"/>
      <c r="C2" s="19">
        <v>100</v>
      </c>
      <c r="D2" s="19">
        <v>125</v>
      </c>
      <c r="E2" s="20">
        <v>0.85</v>
      </c>
      <c r="F2" s="21">
        <v>500</v>
      </c>
      <c r="G2" s="22">
        <v>20</v>
      </c>
      <c r="H2" s="23">
        <v>0.03</v>
      </c>
      <c r="I2" s="24">
        <f>G2/H2</f>
        <v>666.66666666666674</v>
      </c>
      <c r="J2" s="24">
        <f>F2/(1-E2)</f>
        <v>3333.333333333333</v>
      </c>
    </row>
    <row r="3" spans="1:26" ht="14.25" customHeight="1" x14ac:dyDescent="0.25">
      <c r="A3" s="5" t="s">
        <v>1</v>
      </c>
      <c r="B3" s="5">
        <v>2020</v>
      </c>
      <c r="C3" s="5">
        <v>2020</v>
      </c>
      <c r="D3" s="5">
        <v>2020</v>
      </c>
      <c r="E3" s="5">
        <v>2020</v>
      </c>
      <c r="F3" s="6">
        <v>2020</v>
      </c>
      <c r="G3" s="5">
        <v>2021</v>
      </c>
      <c r="H3" s="5">
        <v>2021</v>
      </c>
      <c r="I3" s="5">
        <v>2021</v>
      </c>
      <c r="J3" s="5">
        <v>2021</v>
      </c>
      <c r="K3" s="5">
        <v>2021</v>
      </c>
      <c r="L3" s="5">
        <v>2021</v>
      </c>
      <c r="M3" s="5">
        <v>2021</v>
      </c>
      <c r="N3" s="5">
        <v>2021</v>
      </c>
      <c r="O3" s="5">
        <v>2021</v>
      </c>
      <c r="P3" s="5">
        <v>2021</v>
      </c>
      <c r="Q3" s="5">
        <v>2021</v>
      </c>
      <c r="R3" s="5">
        <v>2021</v>
      </c>
      <c r="S3" s="7" t="s">
        <v>2</v>
      </c>
      <c r="T3" s="8" t="s">
        <v>3</v>
      </c>
    </row>
    <row r="4" spans="1:26" ht="14.25" customHeight="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10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5</v>
      </c>
      <c r="O4" s="9" t="s">
        <v>6</v>
      </c>
      <c r="P4" s="9" t="s">
        <v>7</v>
      </c>
      <c r="Q4" s="9" t="s">
        <v>8</v>
      </c>
      <c r="R4" s="10" t="s">
        <v>9</v>
      </c>
      <c r="S4" s="11"/>
      <c r="T4" s="8"/>
    </row>
    <row r="5" spans="1:26" ht="14.25" customHeight="1" x14ac:dyDescent="0.25">
      <c r="A5" s="25" t="s">
        <v>17</v>
      </c>
      <c r="B5" s="26"/>
      <c r="C5" s="26"/>
      <c r="D5" s="26"/>
      <c r="E5" s="26"/>
      <c r="F5" s="27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8"/>
      <c r="V5" s="28"/>
      <c r="W5" s="28"/>
      <c r="X5" s="28"/>
      <c r="Y5" s="28"/>
      <c r="Z5" s="28"/>
    </row>
    <row r="6" spans="1:26" ht="14.25" customHeight="1" x14ac:dyDescent="0.25">
      <c r="A6" s="7" t="s">
        <v>18</v>
      </c>
      <c r="B6" s="2">
        <f>C2</f>
        <v>100</v>
      </c>
      <c r="C6" s="29">
        <f t="shared" ref="C6:R6" si="0">(B6+$D$2)-((100%-$E$2)*B6)</f>
        <v>210</v>
      </c>
      <c r="D6" s="29">
        <f t="shared" si="0"/>
        <v>303.5</v>
      </c>
      <c r="E6" s="29">
        <f t="shared" si="0"/>
        <v>382.97500000000002</v>
      </c>
      <c r="F6" s="29">
        <f t="shared" si="0"/>
        <v>450.52875</v>
      </c>
      <c r="G6" s="29">
        <f t="shared" si="0"/>
        <v>507.94943749999993</v>
      </c>
      <c r="H6" s="29">
        <f t="shared" si="0"/>
        <v>556.75702187499996</v>
      </c>
      <c r="I6" s="29">
        <f t="shared" si="0"/>
        <v>598.24346859374998</v>
      </c>
      <c r="J6" s="29">
        <f t="shared" si="0"/>
        <v>633.50694830468751</v>
      </c>
      <c r="K6" s="29">
        <f t="shared" si="0"/>
        <v>663.48090605898437</v>
      </c>
      <c r="L6" s="29">
        <f t="shared" si="0"/>
        <v>688.95877015013673</v>
      </c>
      <c r="M6" s="29">
        <f t="shared" si="0"/>
        <v>710.61495462761616</v>
      </c>
      <c r="N6" s="29">
        <f t="shared" si="0"/>
        <v>729.02271143347366</v>
      </c>
      <c r="O6" s="29">
        <f t="shared" si="0"/>
        <v>744.66930471845262</v>
      </c>
      <c r="P6" s="29">
        <f t="shared" si="0"/>
        <v>757.96890901068468</v>
      </c>
      <c r="Q6" s="29">
        <f t="shared" si="0"/>
        <v>769.27357265908199</v>
      </c>
      <c r="R6" s="29">
        <f t="shared" si="0"/>
        <v>778.88253676021964</v>
      </c>
      <c r="S6" s="12">
        <f t="shared" ref="S6:S7" si="1">SUM(G6:R6)</f>
        <v>8139.3285416920871</v>
      </c>
    </row>
    <row r="7" spans="1:26" ht="14.25" customHeight="1" x14ac:dyDescent="0.25">
      <c r="A7" s="7" t="s">
        <v>19</v>
      </c>
      <c r="B7" s="3">
        <f t="shared" ref="B7:R7" si="2">B6*$F$2</f>
        <v>50000</v>
      </c>
      <c r="C7" s="3">
        <f t="shared" si="2"/>
        <v>105000</v>
      </c>
      <c r="D7" s="3">
        <f t="shared" si="2"/>
        <v>151750</v>
      </c>
      <c r="E7" s="3">
        <f t="shared" si="2"/>
        <v>191487.5</v>
      </c>
      <c r="F7" s="30">
        <f t="shared" si="2"/>
        <v>225264.375</v>
      </c>
      <c r="G7" s="3">
        <f t="shared" si="2"/>
        <v>253974.71874999997</v>
      </c>
      <c r="H7" s="3">
        <f t="shared" si="2"/>
        <v>278378.51093749999</v>
      </c>
      <c r="I7" s="3">
        <f t="shared" si="2"/>
        <v>299121.73429687502</v>
      </c>
      <c r="J7" s="3">
        <f t="shared" si="2"/>
        <v>316753.47415234376</v>
      </c>
      <c r="K7" s="3">
        <f t="shared" si="2"/>
        <v>331740.45302949217</v>
      </c>
      <c r="L7" s="3">
        <f t="shared" si="2"/>
        <v>344479.38507506839</v>
      </c>
      <c r="M7" s="3">
        <f t="shared" si="2"/>
        <v>355307.47731380811</v>
      </c>
      <c r="N7" s="3">
        <f t="shared" si="2"/>
        <v>364511.35571673681</v>
      </c>
      <c r="O7" s="3">
        <f t="shared" si="2"/>
        <v>372334.65235922631</v>
      </c>
      <c r="P7" s="3">
        <f t="shared" si="2"/>
        <v>378984.45450534235</v>
      </c>
      <c r="Q7" s="3">
        <f t="shared" si="2"/>
        <v>384636.78632954101</v>
      </c>
      <c r="R7" s="3">
        <f t="shared" si="2"/>
        <v>389441.2683801098</v>
      </c>
      <c r="S7" s="31">
        <f t="shared" si="1"/>
        <v>4069664.2708460437</v>
      </c>
    </row>
    <row r="8" spans="1:26" ht="14.25" customHeight="1" x14ac:dyDescent="0.25">
      <c r="A8" s="25" t="s">
        <v>20</v>
      </c>
      <c r="B8" s="26"/>
      <c r="C8" s="26"/>
      <c r="D8" s="26"/>
      <c r="E8" s="26"/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8"/>
      <c r="V8" s="28"/>
      <c r="W8" s="28"/>
      <c r="X8" s="28"/>
      <c r="Y8" s="28"/>
      <c r="Z8" s="28"/>
    </row>
    <row r="9" spans="1:26" ht="14.25" customHeight="1" x14ac:dyDescent="0.25">
      <c r="A9" s="2" t="s">
        <v>21</v>
      </c>
      <c r="B9" s="31">
        <v>15000</v>
      </c>
      <c r="C9" s="31">
        <f t="shared" ref="C9:E9" si="3">B9-5000</f>
        <v>10000</v>
      </c>
      <c r="D9" s="31">
        <f t="shared" si="3"/>
        <v>5000</v>
      </c>
      <c r="E9" s="31">
        <f t="shared" si="3"/>
        <v>0</v>
      </c>
      <c r="F9" s="32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f t="shared" ref="S9:S19" si="4">SUM(G9:R9)</f>
        <v>0</v>
      </c>
      <c r="T9" s="33">
        <f t="shared" ref="T9:T19" si="5">S9/$S$7</f>
        <v>0</v>
      </c>
    </row>
    <row r="10" spans="1:26" ht="14.25" customHeight="1" x14ac:dyDescent="0.25">
      <c r="A10" s="2" t="s">
        <v>22</v>
      </c>
      <c r="B10" s="31">
        <v>150000</v>
      </c>
      <c r="C10" s="31">
        <v>100000</v>
      </c>
      <c r="D10" s="31">
        <v>50000</v>
      </c>
      <c r="E10" s="31">
        <v>0</v>
      </c>
      <c r="F10" s="32">
        <v>0</v>
      </c>
      <c r="G10" s="34">
        <v>15000</v>
      </c>
      <c r="H10" s="31">
        <v>15000</v>
      </c>
      <c r="I10" s="31">
        <v>15000</v>
      </c>
      <c r="J10" s="31">
        <v>15000</v>
      </c>
      <c r="K10" s="31">
        <v>15000</v>
      </c>
      <c r="L10" s="31">
        <v>15000</v>
      </c>
      <c r="M10" s="31">
        <v>15000</v>
      </c>
      <c r="N10" s="31">
        <v>15000</v>
      </c>
      <c r="O10" s="31">
        <v>15000</v>
      </c>
      <c r="P10" s="31">
        <v>15000</v>
      </c>
      <c r="Q10" s="31">
        <v>15000</v>
      </c>
      <c r="R10" s="31">
        <v>15000</v>
      </c>
      <c r="S10" s="31">
        <f t="shared" si="4"/>
        <v>180000</v>
      </c>
      <c r="T10" s="33">
        <f t="shared" si="5"/>
        <v>4.4229692677469866E-2</v>
      </c>
    </row>
    <row r="11" spans="1:26" ht="14.25" customHeight="1" x14ac:dyDescent="0.25">
      <c r="A11" s="2" t="s">
        <v>23</v>
      </c>
      <c r="B11" s="31">
        <f t="shared" ref="B11:R11" si="6">MAX(B6*50,5000)</f>
        <v>5000</v>
      </c>
      <c r="C11" s="31">
        <f t="shared" si="6"/>
        <v>10500</v>
      </c>
      <c r="D11" s="31">
        <f t="shared" si="6"/>
        <v>15175</v>
      </c>
      <c r="E11" s="31">
        <f t="shared" si="6"/>
        <v>19148.75</v>
      </c>
      <c r="F11" s="32">
        <f t="shared" si="6"/>
        <v>22526.4375</v>
      </c>
      <c r="G11" s="31">
        <f t="shared" si="6"/>
        <v>25397.471874999996</v>
      </c>
      <c r="H11" s="31">
        <f t="shared" si="6"/>
        <v>27837.85109375</v>
      </c>
      <c r="I11" s="31">
        <f t="shared" si="6"/>
        <v>29912.1734296875</v>
      </c>
      <c r="J11" s="31">
        <f t="shared" si="6"/>
        <v>31675.347415234377</v>
      </c>
      <c r="K11" s="31">
        <f t="shared" si="6"/>
        <v>33174.04530294922</v>
      </c>
      <c r="L11" s="31">
        <f t="shared" si="6"/>
        <v>34447.938507506835</v>
      </c>
      <c r="M11" s="31">
        <f t="shared" si="6"/>
        <v>35530.747731380805</v>
      </c>
      <c r="N11" s="31">
        <f t="shared" si="6"/>
        <v>36451.13557167368</v>
      </c>
      <c r="O11" s="31">
        <f t="shared" si="6"/>
        <v>37233.465235922631</v>
      </c>
      <c r="P11" s="31">
        <f t="shared" si="6"/>
        <v>37898.445450534236</v>
      </c>
      <c r="Q11" s="31">
        <f t="shared" si="6"/>
        <v>38463.678632954099</v>
      </c>
      <c r="R11" s="31">
        <f t="shared" si="6"/>
        <v>38944.126838010983</v>
      </c>
      <c r="S11" s="31">
        <f t="shared" si="4"/>
        <v>406966.42708460434</v>
      </c>
      <c r="T11" s="33">
        <f t="shared" si="5"/>
        <v>9.9999999999999992E-2</v>
      </c>
    </row>
    <row r="12" spans="1:26" ht="14.25" customHeight="1" x14ac:dyDescent="0.25">
      <c r="A12" s="2" t="s">
        <v>24</v>
      </c>
      <c r="B12" s="31">
        <f t="shared" ref="B12:R12" si="7">30*($G$2/$H$2)</f>
        <v>20000.000000000004</v>
      </c>
      <c r="C12" s="31">
        <f t="shared" si="7"/>
        <v>20000.000000000004</v>
      </c>
      <c r="D12" s="31">
        <f t="shared" si="7"/>
        <v>20000.000000000004</v>
      </c>
      <c r="E12" s="31">
        <f t="shared" si="7"/>
        <v>20000.000000000004</v>
      </c>
      <c r="F12" s="32">
        <f t="shared" si="7"/>
        <v>20000.000000000004</v>
      </c>
      <c r="G12" s="31">
        <f t="shared" si="7"/>
        <v>20000.000000000004</v>
      </c>
      <c r="H12" s="31">
        <f t="shared" si="7"/>
        <v>20000.000000000004</v>
      </c>
      <c r="I12" s="31">
        <f t="shared" si="7"/>
        <v>20000.000000000004</v>
      </c>
      <c r="J12" s="31">
        <f t="shared" si="7"/>
        <v>20000.000000000004</v>
      </c>
      <c r="K12" s="31">
        <f t="shared" si="7"/>
        <v>20000.000000000004</v>
      </c>
      <c r="L12" s="31">
        <f t="shared" si="7"/>
        <v>20000.000000000004</v>
      </c>
      <c r="M12" s="31">
        <f t="shared" si="7"/>
        <v>20000.000000000004</v>
      </c>
      <c r="N12" s="31">
        <f t="shared" si="7"/>
        <v>20000.000000000004</v>
      </c>
      <c r="O12" s="31">
        <f t="shared" si="7"/>
        <v>20000.000000000004</v>
      </c>
      <c r="P12" s="31">
        <f t="shared" si="7"/>
        <v>20000.000000000004</v>
      </c>
      <c r="Q12" s="31">
        <f t="shared" si="7"/>
        <v>20000.000000000004</v>
      </c>
      <c r="R12" s="31">
        <f t="shared" si="7"/>
        <v>20000.000000000004</v>
      </c>
      <c r="S12" s="31">
        <f t="shared" si="4"/>
        <v>240000.00000000003</v>
      </c>
      <c r="T12" s="33">
        <f t="shared" si="5"/>
        <v>5.8972923569959826E-2</v>
      </c>
    </row>
    <row r="13" spans="1:26" ht="14.25" customHeight="1" x14ac:dyDescent="0.25">
      <c r="A13" s="2" t="s">
        <v>25</v>
      </c>
      <c r="B13" s="31">
        <v>2500</v>
      </c>
      <c r="C13" s="31">
        <v>2500</v>
      </c>
      <c r="D13" s="31">
        <v>2500</v>
      </c>
      <c r="E13" s="31">
        <v>2500</v>
      </c>
      <c r="F13" s="32">
        <v>2500</v>
      </c>
      <c r="G13" s="34">
        <v>2500</v>
      </c>
      <c r="H13" s="31">
        <v>2500</v>
      </c>
      <c r="I13" s="31">
        <v>2500</v>
      </c>
      <c r="J13" s="31">
        <v>2500</v>
      </c>
      <c r="K13" s="31">
        <v>2500</v>
      </c>
      <c r="L13" s="31">
        <v>2500</v>
      </c>
      <c r="M13" s="31">
        <v>2500</v>
      </c>
      <c r="N13" s="31">
        <v>2500</v>
      </c>
      <c r="O13" s="31">
        <v>2500</v>
      </c>
      <c r="P13" s="31">
        <v>2500</v>
      </c>
      <c r="Q13" s="31">
        <v>2500</v>
      </c>
      <c r="R13" s="31">
        <v>2500</v>
      </c>
      <c r="S13" s="31">
        <f t="shared" si="4"/>
        <v>30000</v>
      </c>
      <c r="T13" s="33">
        <f t="shared" si="5"/>
        <v>7.3716154462449774E-3</v>
      </c>
    </row>
    <row r="14" spans="1:26" ht="14.25" customHeight="1" x14ac:dyDescent="0.25">
      <c r="A14" s="2" t="s">
        <v>26</v>
      </c>
      <c r="B14" s="31">
        <v>5000</v>
      </c>
      <c r="C14" s="31">
        <v>5000</v>
      </c>
      <c r="D14" s="31">
        <v>5000</v>
      </c>
      <c r="E14" s="31">
        <v>5000</v>
      </c>
      <c r="F14" s="32">
        <v>5000</v>
      </c>
      <c r="G14" s="34">
        <v>5000</v>
      </c>
      <c r="H14" s="31">
        <v>5000</v>
      </c>
      <c r="I14" s="31">
        <v>5000</v>
      </c>
      <c r="J14" s="31">
        <v>5000</v>
      </c>
      <c r="K14" s="31">
        <v>5000</v>
      </c>
      <c r="L14" s="31">
        <v>5000</v>
      </c>
      <c r="M14" s="31">
        <v>5000</v>
      </c>
      <c r="N14" s="31">
        <v>5000</v>
      </c>
      <c r="O14" s="31">
        <v>5000</v>
      </c>
      <c r="P14" s="31">
        <v>5000</v>
      </c>
      <c r="Q14" s="31">
        <v>5000</v>
      </c>
      <c r="R14" s="31">
        <v>5000</v>
      </c>
      <c r="S14" s="31">
        <f t="shared" si="4"/>
        <v>60000</v>
      </c>
      <c r="T14" s="33">
        <f t="shared" si="5"/>
        <v>1.4743230892489955E-2</v>
      </c>
    </row>
    <row r="15" spans="1:26" ht="14.25" customHeight="1" x14ac:dyDescent="0.25">
      <c r="A15" s="2" t="s">
        <v>27</v>
      </c>
      <c r="B15" s="31">
        <v>1000</v>
      </c>
      <c r="C15" s="31">
        <v>1000</v>
      </c>
      <c r="D15" s="31">
        <v>1000</v>
      </c>
      <c r="E15" s="31">
        <v>1000</v>
      </c>
      <c r="F15" s="32">
        <v>1000</v>
      </c>
      <c r="G15" s="34">
        <v>1000</v>
      </c>
      <c r="H15" s="31">
        <v>1000</v>
      </c>
      <c r="I15" s="31">
        <v>1000</v>
      </c>
      <c r="J15" s="31">
        <v>1000</v>
      </c>
      <c r="K15" s="31">
        <v>1000</v>
      </c>
      <c r="L15" s="31">
        <v>1000</v>
      </c>
      <c r="M15" s="31">
        <v>1000</v>
      </c>
      <c r="N15" s="31">
        <v>1000</v>
      </c>
      <c r="O15" s="31">
        <v>1000</v>
      </c>
      <c r="P15" s="31">
        <v>1000</v>
      </c>
      <c r="Q15" s="31">
        <v>1000</v>
      </c>
      <c r="R15" s="31">
        <v>1000</v>
      </c>
      <c r="S15" s="31">
        <f t="shared" si="4"/>
        <v>12000</v>
      </c>
      <c r="T15" s="33">
        <f t="shared" si="5"/>
        <v>2.9486461784979912E-3</v>
      </c>
    </row>
    <row r="16" spans="1:26" ht="14.25" customHeight="1" x14ac:dyDescent="0.25">
      <c r="A16" s="2" t="s">
        <v>28</v>
      </c>
      <c r="B16" s="31">
        <v>1000</v>
      </c>
      <c r="C16" s="31">
        <v>1000</v>
      </c>
      <c r="D16" s="31">
        <v>1000</v>
      </c>
      <c r="E16" s="31">
        <v>1000</v>
      </c>
      <c r="F16" s="32">
        <v>1000</v>
      </c>
      <c r="G16" s="34">
        <v>1000</v>
      </c>
      <c r="H16" s="31">
        <v>1000</v>
      </c>
      <c r="I16" s="31">
        <v>1000</v>
      </c>
      <c r="J16" s="31">
        <v>1000</v>
      </c>
      <c r="K16" s="31">
        <v>1000</v>
      </c>
      <c r="L16" s="31">
        <v>1000</v>
      </c>
      <c r="M16" s="31">
        <v>1000</v>
      </c>
      <c r="N16" s="31">
        <v>1000</v>
      </c>
      <c r="O16" s="31">
        <v>1000</v>
      </c>
      <c r="P16" s="31">
        <v>1000</v>
      </c>
      <c r="Q16" s="31">
        <v>1000</v>
      </c>
      <c r="R16" s="31">
        <v>1000</v>
      </c>
      <c r="S16" s="31">
        <f t="shared" si="4"/>
        <v>12000</v>
      </c>
      <c r="T16" s="33">
        <f t="shared" si="5"/>
        <v>2.9486461784979912E-3</v>
      </c>
    </row>
    <row r="17" spans="1:26" ht="14.25" customHeight="1" x14ac:dyDescent="0.25">
      <c r="A17" s="2" t="s">
        <v>29</v>
      </c>
      <c r="B17" s="31">
        <f t="shared" ref="B17:R17" si="8">0.03*B7</f>
        <v>1500</v>
      </c>
      <c r="C17" s="31">
        <f t="shared" si="8"/>
        <v>3150</v>
      </c>
      <c r="D17" s="31">
        <f t="shared" si="8"/>
        <v>4552.5</v>
      </c>
      <c r="E17" s="31">
        <f t="shared" si="8"/>
        <v>5744.625</v>
      </c>
      <c r="F17" s="32">
        <f t="shared" si="8"/>
        <v>6757.9312499999996</v>
      </c>
      <c r="G17" s="31">
        <f t="shared" si="8"/>
        <v>7619.2415624999985</v>
      </c>
      <c r="H17" s="31">
        <f t="shared" si="8"/>
        <v>8351.3553281249988</v>
      </c>
      <c r="I17" s="31">
        <f t="shared" si="8"/>
        <v>8973.6520289062501</v>
      </c>
      <c r="J17" s="31">
        <f t="shared" si="8"/>
        <v>9502.604224570312</v>
      </c>
      <c r="K17" s="31">
        <f t="shared" si="8"/>
        <v>9952.2135908847649</v>
      </c>
      <c r="L17" s="31">
        <f t="shared" si="8"/>
        <v>10334.381552252051</v>
      </c>
      <c r="M17" s="31">
        <f t="shared" si="8"/>
        <v>10659.224319414243</v>
      </c>
      <c r="N17" s="31">
        <f t="shared" si="8"/>
        <v>10935.340671502105</v>
      </c>
      <c r="O17" s="31">
        <f t="shared" si="8"/>
        <v>11170.039570776789</v>
      </c>
      <c r="P17" s="31">
        <f t="shared" si="8"/>
        <v>11369.533635160271</v>
      </c>
      <c r="Q17" s="31">
        <f t="shared" si="8"/>
        <v>11539.10358988623</v>
      </c>
      <c r="R17" s="31">
        <f t="shared" si="8"/>
        <v>11683.238051403294</v>
      </c>
      <c r="S17" s="31">
        <f t="shared" si="4"/>
        <v>122089.92812538131</v>
      </c>
      <c r="T17" s="33">
        <f t="shared" si="5"/>
        <v>0.03</v>
      </c>
    </row>
    <row r="18" spans="1:26" ht="14.25" customHeight="1" x14ac:dyDescent="0.25">
      <c r="A18" s="2" t="s">
        <v>30</v>
      </c>
      <c r="B18" s="31">
        <v>1000</v>
      </c>
      <c r="C18" s="31">
        <v>1000</v>
      </c>
      <c r="D18" s="31">
        <v>1000</v>
      </c>
      <c r="E18" s="31">
        <v>1000</v>
      </c>
      <c r="F18" s="31">
        <v>1000</v>
      </c>
      <c r="G18" s="34">
        <v>1000</v>
      </c>
      <c r="H18" s="31">
        <v>1000</v>
      </c>
      <c r="I18" s="31">
        <v>1000</v>
      </c>
      <c r="J18" s="31">
        <v>1000</v>
      </c>
      <c r="K18" s="31">
        <v>1000</v>
      </c>
      <c r="L18" s="31">
        <v>1000</v>
      </c>
      <c r="M18" s="31">
        <v>1000</v>
      </c>
      <c r="N18" s="31">
        <v>1000</v>
      </c>
      <c r="O18" s="31">
        <v>1000</v>
      </c>
      <c r="P18" s="31">
        <v>1000</v>
      </c>
      <c r="Q18" s="31">
        <v>1000</v>
      </c>
      <c r="R18" s="31">
        <v>1000</v>
      </c>
      <c r="S18" s="31">
        <f t="shared" si="4"/>
        <v>12000</v>
      </c>
      <c r="T18" s="33">
        <f t="shared" si="5"/>
        <v>2.9486461784979912E-3</v>
      </c>
    </row>
    <row r="19" spans="1:26" ht="14.25" customHeight="1" x14ac:dyDescent="0.25">
      <c r="A19" s="2" t="s">
        <v>31</v>
      </c>
      <c r="B19" s="31">
        <v>25000</v>
      </c>
      <c r="C19" s="31">
        <v>25000</v>
      </c>
      <c r="D19" s="31">
        <v>25000</v>
      </c>
      <c r="E19" s="31">
        <v>25000</v>
      </c>
      <c r="F19" s="32">
        <v>25000</v>
      </c>
      <c r="G19" s="34">
        <v>5000</v>
      </c>
      <c r="H19" s="31">
        <v>5000</v>
      </c>
      <c r="I19" s="31">
        <v>5000</v>
      </c>
      <c r="J19" s="31">
        <v>5000</v>
      </c>
      <c r="K19" s="31">
        <v>5000</v>
      </c>
      <c r="L19" s="31">
        <v>5000</v>
      </c>
      <c r="M19" s="31">
        <v>5000</v>
      </c>
      <c r="N19" s="31">
        <v>5000</v>
      </c>
      <c r="O19" s="31">
        <v>5000</v>
      </c>
      <c r="P19" s="31">
        <v>5000</v>
      </c>
      <c r="Q19" s="31">
        <v>5000</v>
      </c>
      <c r="R19" s="31">
        <v>5000</v>
      </c>
      <c r="S19" s="31">
        <f t="shared" si="4"/>
        <v>60000</v>
      </c>
      <c r="T19" s="33">
        <f t="shared" si="5"/>
        <v>1.4743230892489955E-2</v>
      </c>
    </row>
    <row r="20" spans="1:26" ht="14.25" customHeight="1" x14ac:dyDescent="0.25">
      <c r="A20" s="14" t="s">
        <v>32</v>
      </c>
      <c r="B20" s="31"/>
      <c r="C20" s="31"/>
      <c r="D20" s="31"/>
      <c r="E20" s="31"/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T20" s="33"/>
    </row>
    <row r="21" spans="1:26" ht="14.25" customHeight="1" x14ac:dyDescent="0.25">
      <c r="A21" s="2" t="s">
        <v>33</v>
      </c>
      <c r="B21" s="31">
        <f t="shared" ref="B21:R21" si="9">6000+0.03*B7</f>
        <v>7500</v>
      </c>
      <c r="C21" s="31">
        <f t="shared" si="9"/>
        <v>9150</v>
      </c>
      <c r="D21" s="31">
        <f t="shared" si="9"/>
        <v>10552.5</v>
      </c>
      <c r="E21" s="31">
        <f t="shared" si="9"/>
        <v>11744.625</v>
      </c>
      <c r="F21" s="32">
        <f t="shared" si="9"/>
        <v>12757.93125</v>
      </c>
      <c r="G21" s="31">
        <f t="shared" si="9"/>
        <v>13619.241562499999</v>
      </c>
      <c r="H21" s="31">
        <f t="shared" si="9"/>
        <v>14351.355328124999</v>
      </c>
      <c r="I21" s="31">
        <f t="shared" si="9"/>
        <v>14973.65202890625</v>
      </c>
      <c r="J21" s="31">
        <f t="shared" si="9"/>
        <v>15502.604224570312</v>
      </c>
      <c r="K21" s="31">
        <f t="shared" si="9"/>
        <v>15952.213590884765</v>
      </c>
      <c r="L21" s="31">
        <f t="shared" si="9"/>
        <v>16334.381552252051</v>
      </c>
      <c r="M21" s="31">
        <f t="shared" si="9"/>
        <v>16659.224319414243</v>
      </c>
      <c r="N21" s="31">
        <f t="shared" si="9"/>
        <v>16935.340671502105</v>
      </c>
      <c r="O21" s="31">
        <f t="shared" si="9"/>
        <v>17170.039570776789</v>
      </c>
      <c r="P21" s="31">
        <f t="shared" si="9"/>
        <v>17369.533635160271</v>
      </c>
      <c r="Q21" s="31">
        <f t="shared" si="9"/>
        <v>17539.103589886232</v>
      </c>
      <c r="R21" s="31">
        <f t="shared" si="9"/>
        <v>17683.238051403292</v>
      </c>
      <c r="S21" s="31">
        <f t="shared" ref="S21:S27" si="10">SUM(G21:R21)</f>
        <v>194089.92812538132</v>
      </c>
      <c r="T21" s="33">
        <f t="shared" ref="T21:T26" si="11">S21/$S$7</f>
        <v>4.7691877070987952E-2</v>
      </c>
    </row>
    <row r="22" spans="1:26" ht="14.25" customHeight="1" x14ac:dyDescent="0.25">
      <c r="A22" s="2" t="s">
        <v>34</v>
      </c>
      <c r="B22" s="31">
        <f t="shared" ref="B22:F22" si="12">(4000*ROUNDUP((B6/25),0))</f>
        <v>16000</v>
      </c>
      <c r="C22" s="31">
        <f t="shared" si="12"/>
        <v>36000</v>
      </c>
      <c r="D22" s="31">
        <f t="shared" si="12"/>
        <v>52000</v>
      </c>
      <c r="E22" s="31">
        <f t="shared" si="12"/>
        <v>64000</v>
      </c>
      <c r="F22" s="32">
        <f t="shared" si="12"/>
        <v>76000</v>
      </c>
      <c r="G22" s="31">
        <f t="shared" ref="G22:R22" si="13">(4000*ROUNDUP((G6/50),0))</f>
        <v>44000</v>
      </c>
      <c r="H22" s="31">
        <f t="shared" si="13"/>
        <v>48000</v>
      </c>
      <c r="I22" s="31">
        <f t="shared" si="13"/>
        <v>48000</v>
      </c>
      <c r="J22" s="31">
        <f t="shared" si="13"/>
        <v>52000</v>
      </c>
      <c r="K22" s="31">
        <f t="shared" si="13"/>
        <v>56000</v>
      </c>
      <c r="L22" s="31">
        <f t="shared" si="13"/>
        <v>56000</v>
      </c>
      <c r="M22" s="31">
        <f t="shared" si="13"/>
        <v>60000</v>
      </c>
      <c r="N22" s="31">
        <f t="shared" si="13"/>
        <v>60000</v>
      </c>
      <c r="O22" s="31">
        <f t="shared" si="13"/>
        <v>60000</v>
      </c>
      <c r="P22" s="31">
        <f t="shared" si="13"/>
        <v>64000</v>
      </c>
      <c r="Q22" s="31">
        <f t="shared" si="13"/>
        <v>64000</v>
      </c>
      <c r="R22" s="31">
        <f t="shared" si="13"/>
        <v>64000</v>
      </c>
      <c r="S22" s="31">
        <f t="shared" si="10"/>
        <v>676000</v>
      </c>
      <c r="T22" s="33">
        <f t="shared" si="11"/>
        <v>0.16610706805538683</v>
      </c>
    </row>
    <row r="23" spans="1:26" ht="14.25" customHeight="1" x14ac:dyDescent="0.25">
      <c r="A23" s="2" t="s">
        <v>35</v>
      </c>
      <c r="B23" s="31">
        <f t="shared" ref="B23:F23" si="14">(3000*ROUNDUP((B6/25),0))</f>
        <v>12000</v>
      </c>
      <c r="C23" s="31">
        <f t="shared" si="14"/>
        <v>27000</v>
      </c>
      <c r="D23" s="31">
        <f t="shared" si="14"/>
        <v>39000</v>
      </c>
      <c r="E23" s="31">
        <f t="shared" si="14"/>
        <v>48000</v>
      </c>
      <c r="F23" s="32">
        <f t="shared" si="14"/>
        <v>57000</v>
      </c>
      <c r="G23" s="31">
        <f t="shared" ref="G23:R23" si="15">(3000*ROUNDUP((G6/50),0))</f>
        <v>33000</v>
      </c>
      <c r="H23" s="31">
        <f t="shared" si="15"/>
        <v>36000</v>
      </c>
      <c r="I23" s="31">
        <f t="shared" si="15"/>
        <v>36000</v>
      </c>
      <c r="J23" s="31">
        <f t="shared" si="15"/>
        <v>39000</v>
      </c>
      <c r="K23" s="31">
        <f t="shared" si="15"/>
        <v>42000</v>
      </c>
      <c r="L23" s="31">
        <f t="shared" si="15"/>
        <v>42000</v>
      </c>
      <c r="M23" s="31">
        <f t="shared" si="15"/>
        <v>45000</v>
      </c>
      <c r="N23" s="31">
        <f t="shared" si="15"/>
        <v>45000</v>
      </c>
      <c r="O23" s="31">
        <f t="shared" si="15"/>
        <v>45000</v>
      </c>
      <c r="P23" s="31">
        <f t="shared" si="15"/>
        <v>48000</v>
      </c>
      <c r="Q23" s="31">
        <f t="shared" si="15"/>
        <v>48000</v>
      </c>
      <c r="R23" s="31">
        <f t="shared" si="15"/>
        <v>48000</v>
      </c>
      <c r="S23" s="31">
        <f t="shared" si="10"/>
        <v>507000</v>
      </c>
      <c r="T23" s="33">
        <f t="shared" si="11"/>
        <v>0.12458030104154012</v>
      </c>
    </row>
    <row r="24" spans="1:26" ht="14.25" customHeight="1" x14ac:dyDescent="0.25">
      <c r="A24" s="2" t="s">
        <v>36</v>
      </c>
      <c r="B24" s="31">
        <f t="shared" ref="B24:E24" si="16">((2000+(0.05*B7))*ROUNDUP(($D$2/25),0))</f>
        <v>22500</v>
      </c>
      <c r="C24" s="31">
        <f t="shared" si="16"/>
        <v>36250</v>
      </c>
      <c r="D24" s="31">
        <f t="shared" si="16"/>
        <v>47937.5</v>
      </c>
      <c r="E24" s="31">
        <f t="shared" si="16"/>
        <v>57871.875</v>
      </c>
      <c r="F24" s="32">
        <f>((2000+(0.05*F7))*ROUNDUP((D2/25),0))</f>
        <v>66316.09375</v>
      </c>
      <c r="G24" s="31">
        <f t="shared" ref="G24:R24" si="17">((2000+(0.05*G7))*ROUNDUP(($D$2/50),0))</f>
        <v>44096.207812499997</v>
      </c>
      <c r="H24" s="31">
        <f t="shared" si="17"/>
        <v>47756.776640625001</v>
      </c>
      <c r="I24" s="31">
        <f t="shared" si="17"/>
        <v>50868.260144531261</v>
      </c>
      <c r="J24" s="31">
        <f t="shared" si="17"/>
        <v>53513.021122851569</v>
      </c>
      <c r="K24" s="31">
        <f t="shared" si="17"/>
        <v>55761.06795442383</v>
      </c>
      <c r="L24" s="31">
        <f t="shared" si="17"/>
        <v>57671.907761260263</v>
      </c>
      <c r="M24" s="31">
        <f t="shared" si="17"/>
        <v>59296.121597071222</v>
      </c>
      <c r="N24" s="31">
        <f t="shared" si="17"/>
        <v>60676.703357510516</v>
      </c>
      <c r="O24" s="31">
        <f t="shared" si="17"/>
        <v>61850.197853883947</v>
      </c>
      <c r="P24" s="31">
        <f t="shared" si="17"/>
        <v>62847.668175801358</v>
      </c>
      <c r="Q24" s="31">
        <f t="shared" si="17"/>
        <v>63695.517949431145</v>
      </c>
      <c r="R24" s="31">
        <f t="shared" si="17"/>
        <v>64416.190257016475</v>
      </c>
      <c r="S24" s="31">
        <f t="shared" si="10"/>
        <v>682449.64062690653</v>
      </c>
      <c r="T24" s="33">
        <f t="shared" si="11"/>
        <v>0.16769187707098793</v>
      </c>
    </row>
    <row r="25" spans="1:26" ht="14.25" customHeight="1" x14ac:dyDescent="0.25">
      <c r="A25" s="2" t="s">
        <v>37</v>
      </c>
      <c r="B25" s="31">
        <f t="shared" ref="B25:F25" si="18">(3000*ROUNDUP((B6/25),0))</f>
        <v>12000</v>
      </c>
      <c r="C25" s="31">
        <f t="shared" si="18"/>
        <v>27000</v>
      </c>
      <c r="D25" s="31">
        <f t="shared" si="18"/>
        <v>39000</v>
      </c>
      <c r="E25" s="31">
        <f t="shared" si="18"/>
        <v>48000</v>
      </c>
      <c r="F25" s="32">
        <f t="shared" si="18"/>
        <v>57000</v>
      </c>
      <c r="G25" s="31">
        <f t="shared" ref="G25:R25" si="19">(3000*ROUNDUP((G6/50),0))</f>
        <v>33000</v>
      </c>
      <c r="H25" s="31">
        <f t="shared" si="19"/>
        <v>36000</v>
      </c>
      <c r="I25" s="31">
        <f t="shared" si="19"/>
        <v>36000</v>
      </c>
      <c r="J25" s="31">
        <f t="shared" si="19"/>
        <v>39000</v>
      </c>
      <c r="K25" s="31">
        <f t="shared" si="19"/>
        <v>42000</v>
      </c>
      <c r="L25" s="31">
        <f t="shared" si="19"/>
        <v>42000</v>
      </c>
      <c r="M25" s="31">
        <f t="shared" si="19"/>
        <v>45000</v>
      </c>
      <c r="N25" s="31">
        <f t="shared" si="19"/>
        <v>45000</v>
      </c>
      <c r="O25" s="31">
        <f t="shared" si="19"/>
        <v>45000</v>
      </c>
      <c r="P25" s="31">
        <f t="shared" si="19"/>
        <v>48000</v>
      </c>
      <c r="Q25" s="31">
        <f t="shared" si="19"/>
        <v>48000</v>
      </c>
      <c r="R25" s="31">
        <f t="shared" si="19"/>
        <v>48000</v>
      </c>
      <c r="S25" s="31">
        <f t="shared" si="10"/>
        <v>507000</v>
      </c>
      <c r="T25" s="33">
        <f t="shared" si="11"/>
        <v>0.12458030104154012</v>
      </c>
    </row>
    <row r="26" spans="1:26" ht="14.25" customHeight="1" x14ac:dyDescent="0.25">
      <c r="A26" s="14" t="s">
        <v>38</v>
      </c>
      <c r="B26" s="31">
        <f t="shared" ref="B26:R26" si="20">SUM(B9:B25)</f>
        <v>297000</v>
      </c>
      <c r="C26" s="31">
        <f t="shared" si="20"/>
        <v>314550</v>
      </c>
      <c r="D26" s="31">
        <f t="shared" si="20"/>
        <v>318717.5</v>
      </c>
      <c r="E26" s="31">
        <f t="shared" si="20"/>
        <v>310009.875</v>
      </c>
      <c r="F26" s="32">
        <f t="shared" si="20"/>
        <v>353858.39374999999</v>
      </c>
      <c r="G26" s="31">
        <f t="shared" si="20"/>
        <v>251232.16281250003</v>
      </c>
      <c r="H26" s="31">
        <f t="shared" si="20"/>
        <v>268797.33839062497</v>
      </c>
      <c r="I26" s="31">
        <f t="shared" si="20"/>
        <v>275227.73763203126</v>
      </c>
      <c r="J26" s="31">
        <f t="shared" si="20"/>
        <v>290693.57698722661</v>
      </c>
      <c r="K26" s="31">
        <f t="shared" si="20"/>
        <v>305339.54043914261</v>
      </c>
      <c r="L26" s="31">
        <f t="shared" si="20"/>
        <v>309288.60937327123</v>
      </c>
      <c r="M26" s="31">
        <f t="shared" si="20"/>
        <v>322645.31796728051</v>
      </c>
      <c r="N26" s="31">
        <f t="shared" si="20"/>
        <v>325498.52027218841</v>
      </c>
      <c r="O26" s="31">
        <f t="shared" si="20"/>
        <v>327923.74223136017</v>
      </c>
      <c r="P26" s="31">
        <f t="shared" si="20"/>
        <v>339985.18089665612</v>
      </c>
      <c r="Q26" s="31">
        <f t="shared" si="20"/>
        <v>341737.40376215772</v>
      </c>
      <c r="R26" s="31">
        <f t="shared" si="20"/>
        <v>343226.79319783405</v>
      </c>
      <c r="S26" s="31">
        <f t="shared" si="10"/>
        <v>3701595.9239622736</v>
      </c>
      <c r="T26" s="33">
        <f t="shared" si="11"/>
        <v>0.90955805629459152</v>
      </c>
    </row>
    <row r="27" spans="1:26" ht="14.25" customHeight="1" x14ac:dyDescent="0.25">
      <c r="A27" s="25" t="s">
        <v>39</v>
      </c>
      <c r="B27" s="35">
        <f t="shared" ref="B27:R27" si="21">B7-B26</f>
        <v>-247000</v>
      </c>
      <c r="C27" s="35">
        <f t="shared" si="21"/>
        <v>-209550</v>
      </c>
      <c r="D27" s="35">
        <f t="shared" si="21"/>
        <v>-166967.5</v>
      </c>
      <c r="E27" s="35">
        <f t="shared" si="21"/>
        <v>-118522.375</v>
      </c>
      <c r="F27" s="36">
        <f t="shared" si="21"/>
        <v>-128594.01874999999</v>
      </c>
      <c r="G27" s="37">
        <f t="shared" si="21"/>
        <v>2742.555937499943</v>
      </c>
      <c r="H27" s="37">
        <f t="shared" si="21"/>
        <v>9581.1725468750228</v>
      </c>
      <c r="I27" s="37">
        <f t="shared" si="21"/>
        <v>23893.996664843755</v>
      </c>
      <c r="J27" s="37">
        <f t="shared" si="21"/>
        <v>26059.897165117145</v>
      </c>
      <c r="K27" s="37">
        <f t="shared" si="21"/>
        <v>26400.912590349559</v>
      </c>
      <c r="L27" s="37">
        <f t="shared" si="21"/>
        <v>35190.77570179716</v>
      </c>
      <c r="M27" s="37">
        <f t="shared" si="21"/>
        <v>32662.159346527595</v>
      </c>
      <c r="N27" s="37">
        <f t="shared" si="21"/>
        <v>39012.8354445484</v>
      </c>
      <c r="O27" s="37">
        <f t="shared" si="21"/>
        <v>44410.91012786614</v>
      </c>
      <c r="P27" s="37">
        <f t="shared" si="21"/>
        <v>38999.273608686228</v>
      </c>
      <c r="Q27" s="37">
        <f t="shared" si="21"/>
        <v>42899.382567383291</v>
      </c>
      <c r="R27" s="37">
        <f t="shared" si="21"/>
        <v>46214.475182275753</v>
      </c>
      <c r="S27" s="37">
        <f t="shared" si="10"/>
        <v>368068.34688377002</v>
      </c>
      <c r="T27" s="38">
        <f>S27/S7</f>
        <v>9.0441943705408451E-2</v>
      </c>
      <c r="U27" s="28"/>
      <c r="V27" s="28"/>
      <c r="W27" s="28"/>
      <c r="X27" s="28"/>
      <c r="Y27" s="28"/>
      <c r="Z27" s="28"/>
    </row>
    <row r="28" spans="1:26" ht="14.25" customHeight="1" x14ac:dyDescent="0.2"/>
    <row r="29" spans="1:26" ht="14.25" customHeight="1" x14ac:dyDescent="0.2"/>
    <row r="30" spans="1:26" ht="14.25" customHeight="1" x14ac:dyDescent="0.2"/>
    <row r="31" spans="1:26" ht="14.25" customHeight="1" x14ac:dyDescent="0.2"/>
    <row r="32" spans="1:2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workbookViewId="0">
      <selection activeCell="H3" sqref="H3"/>
    </sheetView>
  </sheetViews>
  <sheetFormatPr defaultColWidth="12.625" defaultRowHeight="15" customHeight="1" x14ac:dyDescent="0.2"/>
  <cols>
    <col min="1" max="1" width="16.5" customWidth="1"/>
    <col min="2" max="2" width="8.125" customWidth="1"/>
    <col min="3" max="3" width="9.125" customWidth="1"/>
    <col min="4" max="4" width="8.125" customWidth="1"/>
    <col min="5" max="5" width="9.875" customWidth="1"/>
    <col min="6" max="6" width="11.625" customWidth="1"/>
    <col min="7" max="8" width="12.625" customWidth="1"/>
    <col min="9" max="9" width="9.375" customWidth="1"/>
    <col min="10" max="10" width="12.125" customWidth="1"/>
    <col min="11" max="13" width="8.375" customWidth="1"/>
    <col min="14" max="14" width="11.625" customWidth="1"/>
    <col min="15" max="15" width="9.125" customWidth="1"/>
    <col min="16" max="16" width="8.625" customWidth="1"/>
    <col min="17" max="17" width="13.625" customWidth="1"/>
    <col min="18" max="18" width="11.875" customWidth="1"/>
    <col min="19" max="19" width="10" customWidth="1"/>
    <col min="20" max="20" width="8.875" customWidth="1"/>
    <col min="21" max="26" width="7.625" customWidth="1"/>
  </cols>
  <sheetData>
    <row r="1" spans="1:26" ht="14.25" customHeight="1" x14ac:dyDescent="0.25">
      <c r="A1" s="2" t="s">
        <v>49</v>
      </c>
      <c r="C1" s="39" t="s">
        <v>41</v>
      </c>
      <c r="D1" s="39" t="s">
        <v>50</v>
      </c>
      <c r="E1" s="39" t="s">
        <v>51</v>
      </c>
      <c r="F1" s="39" t="s">
        <v>52</v>
      </c>
      <c r="G1" s="39" t="s">
        <v>53</v>
      </c>
      <c r="H1" s="39" t="s">
        <v>54</v>
      </c>
      <c r="I1" s="39" t="s">
        <v>55</v>
      </c>
      <c r="J1" s="39" t="s">
        <v>56</v>
      </c>
      <c r="K1" s="39" t="s">
        <v>0</v>
      </c>
      <c r="L1" s="39" t="s">
        <v>46</v>
      </c>
      <c r="M1" s="39" t="s">
        <v>47</v>
      </c>
      <c r="N1" s="39" t="s">
        <v>57</v>
      </c>
      <c r="O1" s="39" t="s">
        <v>48</v>
      </c>
    </row>
    <row r="2" spans="1:26" ht="14.25" customHeight="1" x14ac:dyDescent="0.25">
      <c r="C2" s="40"/>
      <c r="D2" s="40">
        <v>50</v>
      </c>
      <c r="E2" s="40">
        <v>10</v>
      </c>
      <c r="F2" s="40">
        <v>300</v>
      </c>
      <c r="G2" s="40">
        <v>1000</v>
      </c>
      <c r="H2" s="41">
        <v>0.15</v>
      </c>
      <c r="I2" s="40">
        <v>500</v>
      </c>
      <c r="J2" s="41">
        <v>0.05</v>
      </c>
      <c r="K2" s="42">
        <v>3</v>
      </c>
      <c r="L2" s="41">
        <v>0.05</v>
      </c>
      <c r="M2" s="42">
        <f>K2/L2</f>
        <v>60</v>
      </c>
      <c r="N2" s="41">
        <v>0.9</v>
      </c>
      <c r="O2" s="43">
        <f>(I2*J2)/(1-N2)</f>
        <v>250.00000000000006</v>
      </c>
    </row>
    <row r="3" spans="1:26" ht="14.25" customHeight="1" x14ac:dyDescent="0.25">
      <c r="A3" s="5" t="s">
        <v>1</v>
      </c>
      <c r="B3" s="5">
        <v>2020</v>
      </c>
      <c r="C3" s="5">
        <v>2020</v>
      </c>
      <c r="D3" s="5">
        <v>2020</v>
      </c>
      <c r="E3" s="5">
        <v>2020</v>
      </c>
      <c r="F3" s="6">
        <v>2020</v>
      </c>
      <c r="G3" s="5">
        <v>2021</v>
      </c>
      <c r="H3" s="5">
        <v>2021</v>
      </c>
      <c r="I3" s="5">
        <v>2021</v>
      </c>
      <c r="J3" s="5">
        <v>2021</v>
      </c>
      <c r="K3" s="5">
        <v>2021</v>
      </c>
      <c r="L3" s="5">
        <v>2021</v>
      </c>
      <c r="M3" s="5">
        <v>2021</v>
      </c>
      <c r="N3" s="5">
        <v>2021</v>
      </c>
      <c r="O3" s="5">
        <v>2021</v>
      </c>
      <c r="P3" s="5">
        <v>2021</v>
      </c>
      <c r="Q3" s="5">
        <v>2021</v>
      </c>
      <c r="R3" s="5">
        <v>2021</v>
      </c>
      <c r="S3" s="7" t="s">
        <v>2</v>
      </c>
      <c r="T3" s="8" t="s">
        <v>3</v>
      </c>
    </row>
    <row r="4" spans="1:26" ht="14.25" customHeight="1" x14ac:dyDescent="0.25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10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5</v>
      </c>
      <c r="O4" s="9" t="s">
        <v>6</v>
      </c>
      <c r="P4" s="9" t="s">
        <v>7</v>
      </c>
      <c r="Q4" s="9" t="s">
        <v>8</v>
      </c>
      <c r="R4" s="10" t="s">
        <v>9</v>
      </c>
      <c r="S4" s="11">
        <v>2021</v>
      </c>
      <c r="T4" s="8"/>
    </row>
    <row r="5" spans="1:26" ht="14.25" customHeight="1" x14ac:dyDescent="0.25">
      <c r="A5" s="44" t="s">
        <v>17</v>
      </c>
      <c r="B5" s="45"/>
      <c r="C5" s="45"/>
      <c r="D5" s="45"/>
      <c r="E5" s="45"/>
      <c r="F5" s="46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7"/>
      <c r="T5" s="45"/>
      <c r="U5" s="45"/>
      <c r="V5" s="45"/>
      <c r="W5" s="45"/>
      <c r="X5" s="45"/>
      <c r="Y5" s="45"/>
      <c r="Z5" s="45"/>
    </row>
    <row r="6" spans="1:26" ht="14.25" customHeight="1" x14ac:dyDescent="0.25">
      <c r="A6" s="7" t="s">
        <v>58</v>
      </c>
      <c r="B6" s="2">
        <f>D2</f>
        <v>50</v>
      </c>
      <c r="C6" s="2">
        <f t="shared" ref="C6:R6" si="0">B6+$E$2</f>
        <v>60</v>
      </c>
      <c r="D6" s="2">
        <f t="shared" si="0"/>
        <v>70</v>
      </c>
      <c r="E6" s="2">
        <f t="shared" si="0"/>
        <v>80</v>
      </c>
      <c r="F6" s="8">
        <f t="shared" si="0"/>
        <v>90</v>
      </c>
      <c r="G6" s="2">
        <f t="shared" si="0"/>
        <v>100</v>
      </c>
      <c r="H6" s="2">
        <f t="shared" si="0"/>
        <v>110</v>
      </c>
      <c r="I6" s="2">
        <f t="shared" si="0"/>
        <v>120</v>
      </c>
      <c r="J6" s="2">
        <f t="shared" si="0"/>
        <v>130</v>
      </c>
      <c r="K6" s="2">
        <f t="shared" si="0"/>
        <v>140</v>
      </c>
      <c r="L6" s="2">
        <f t="shared" si="0"/>
        <v>150</v>
      </c>
      <c r="M6" s="2">
        <f t="shared" si="0"/>
        <v>160</v>
      </c>
      <c r="N6" s="2">
        <f t="shared" si="0"/>
        <v>170</v>
      </c>
      <c r="O6" s="2">
        <f t="shared" si="0"/>
        <v>180</v>
      </c>
      <c r="P6" s="2">
        <f t="shared" si="0"/>
        <v>190</v>
      </c>
      <c r="Q6" s="2">
        <f t="shared" si="0"/>
        <v>200</v>
      </c>
      <c r="R6" s="2">
        <f t="shared" si="0"/>
        <v>210</v>
      </c>
      <c r="S6" s="48">
        <f t="shared" ref="S6:S9" si="1">SUM(G6:R6)</f>
        <v>1860</v>
      </c>
    </row>
    <row r="7" spans="1:26" ht="14.25" customHeight="1" x14ac:dyDescent="0.25">
      <c r="A7" s="7" t="s">
        <v>59</v>
      </c>
      <c r="B7" s="3">
        <f t="shared" ref="B7:R7" si="2">B6*$F$2</f>
        <v>15000</v>
      </c>
      <c r="C7" s="3">
        <f t="shared" si="2"/>
        <v>18000</v>
      </c>
      <c r="D7" s="3">
        <f t="shared" si="2"/>
        <v>21000</v>
      </c>
      <c r="E7" s="3">
        <f t="shared" si="2"/>
        <v>24000</v>
      </c>
      <c r="F7" s="30">
        <f t="shared" si="2"/>
        <v>27000</v>
      </c>
      <c r="G7" s="3">
        <f t="shared" si="2"/>
        <v>30000</v>
      </c>
      <c r="H7" s="3">
        <f t="shared" si="2"/>
        <v>33000</v>
      </c>
      <c r="I7" s="3">
        <f t="shared" si="2"/>
        <v>36000</v>
      </c>
      <c r="J7" s="3">
        <f t="shared" si="2"/>
        <v>39000</v>
      </c>
      <c r="K7" s="3">
        <f t="shared" si="2"/>
        <v>42000</v>
      </c>
      <c r="L7" s="3">
        <f t="shared" si="2"/>
        <v>45000</v>
      </c>
      <c r="M7" s="3">
        <f t="shared" si="2"/>
        <v>48000</v>
      </c>
      <c r="N7" s="3">
        <f t="shared" si="2"/>
        <v>51000</v>
      </c>
      <c r="O7" s="3">
        <f t="shared" si="2"/>
        <v>54000</v>
      </c>
      <c r="P7" s="3">
        <f t="shared" si="2"/>
        <v>57000</v>
      </c>
      <c r="Q7" s="3">
        <f t="shared" si="2"/>
        <v>60000</v>
      </c>
      <c r="R7" s="3">
        <f t="shared" si="2"/>
        <v>63000</v>
      </c>
      <c r="S7" s="3">
        <f t="shared" si="1"/>
        <v>558000</v>
      </c>
    </row>
    <row r="8" spans="1:26" ht="14.25" customHeight="1" x14ac:dyDescent="0.25">
      <c r="A8" s="7" t="s">
        <v>60</v>
      </c>
      <c r="B8" s="12">
        <f>G2</f>
        <v>1000</v>
      </c>
      <c r="C8" s="12">
        <f t="shared" ref="C8:R8" si="3">B8*(1+$H$2)*$N$2</f>
        <v>1035</v>
      </c>
      <c r="D8" s="12">
        <f t="shared" si="3"/>
        <v>1071.2250000000001</v>
      </c>
      <c r="E8" s="12">
        <f t="shared" si="3"/>
        <v>1108.717875</v>
      </c>
      <c r="F8" s="13">
        <f t="shared" si="3"/>
        <v>1147.5230006249999</v>
      </c>
      <c r="G8" s="12">
        <f t="shared" si="3"/>
        <v>1187.6863056468749</v>
      </c>
      <c r="H8" s="12">
        <f t="shared" si="3"/>
        <v>1229.2553263445154</v>
      </c>
      <c r="I8" s="12">
        <f t="shared" si="3"/>
        <v>1272.2792627665733</v>
      </c>
      <c r="J8" s="12">
        <f t="shared" si="3"/>
        <v>1316.8090369634033</v>
      </c>
      <c r="K8" s="12">
        <f t="shared" si="3"/>
        <v>1362.8973532571224</v>
      </c>
      <c r="L8" s="12">
        <f t="shared" si="3"/>
        <v>1410.5987606211215</v>
      </c>
      <c r="M8" s="12">
        <f t="shared" si="3"/>
        <v>1459.9697172428607</v>
      </c>
      <c r="N8" s="12">
        <f t="shared" si="3"/>
        <v>1511.0686573463609</v>
      </c>
      <c r="O8" s="12">
        <f t="shared" si="3"/>
        <v>1563.9560603534835</v>
      </c>
      <c r="P8" s="12">
        <f t="shared" si="3"/>
        <v>1618.6945224658555</v>
      </c>
      <c r="Q8" s="12">
        <f t="shared" si="3"/>
        <v>1675.3488307521602</v>
      </c>
      <c r="R8" s="12">
        <f t="shared" si="3"/>
        <v>1733.9860398284857</v>
      </c>
      <c r="S8" s="48">
        <f t="shared" si="1"/>
        <v>17342.549873588818</v>
      </c>
    </row>
    <row r="9" spans="1:26" ht="14.25" customHeight="1" x14ac:dyDescent="0.25">
      <c r="A9" s="7" t="s">
        <v>61</v>
      </c>
      <c r="B9" s="3">
        <f>B8*$I$2*$J$2</f>
        <v>25000</v>
      </c>
      <c r="C9" s="3">
        <f>C8*$I$2*$J$2</f>
        <v>25875</v>
      </c>
      <c r="D9" s="3">
        <f>D8*$I$2*$J$2</f>
        <v>26780.625000000007</v>
      </c>
      <c r="E9" s="3">
        <f>E8*$I$2*$J$2</f>
        <v>27717.946875000001</v>
      </c>
      <c r="F9" s="30">
        <f>F8*$I$2*$J$2</f>
        <v>28688.075015625</v>
      </c>
      <c r="G9" s="3">
        <f>G8*$I$2*$J$2</f>
        <v>29692.157641171874</v>
      </c>
      <c r="H9" s="3">
        <f>H8*$I$2*$J$2</f>
        <v>30731.383158612887</v>
      </c>
      <c r="I9" s="3">
        <f>I8*$I$2*$J$2</f>
        <v>31806.981569164334</v>
      </c>
      <c r="J9" s="3">
        <f>J8*$I$2*$J$2</f>
        <v>32920.225924085084</v>
      </c>
      <c r="K9" s="3">
        <f>K8*$I$2*$J$2</f>
        <v>34072.433831428061</v>
      </c>
      <c r="L9" s="3">
        <f>L8*$I$2*$J$2</f>
        <v>35264.96901552804</v>
      </c>
      <c r="M9" s="3">
        <f>M8*$I$2*$J$2</f>
        <v>36499.242931071516</v>
      </c>
      <c r="N9" s="3">
        <f>N8*$I$2*$J$2</f>
        <v>37776.716433659021</v>
      </c>
      <c r="O9" s="3">
        <f>O8*$I$2*$J$2</f>
        <v>39098.901508837087</v>
      </c>
      <c r="P9" s="3">
        <f>P8*$I$2*$J$2</f>
        <v>40467.363061646392</v>
      </c>
      <c r="Q9" s="3">
        <f>Q8*$I$2*$J$2</f>
        <v>41883.720768804007</v>
      </c>
      <c r="R9" s="3">
        <f>R8*$I$2*$J$2</f>
        <v>43349.650995712145</v>
      </c>
      <c r="S9" s="3">
        <f t="shared" si="1"/>
        <v>433563.74683972046</v>
      </c>
    </row>
    <row r="10" spans="1:26" ht="14.25" customHeight="1" x14ac:dyDescent="0.25">
      <c r="A10" s="2" t="s">
        <v>65</v>
      </c>
      <c r="B10" s="3"/>
      <c r="C10" s="33">
        <f>(C9-B9)/C9</f>
        <v>3.3816425120772944E-2</v>
      </c>
      <c r="D10" s="33">
        <f t="shared" ref="D10:F10" si="4">(D9-C9)/D9</f>
        <v>3.3816425120773208E-2</v>
      </c>
      <c r="E10" s="33">
        <f t="shared" si="4"/>
        <v>3.3816425120772736E-2</v>
      </c>
      <c r="F10" s="33">
        <f t="shared" si="4"/>
        <v>3.3816425120772882E-2</v>
      </c>
      <c r="G10" s="33">
        <f t="shared" ref="G10" si="5">(G9-F9)/G9</f>
        <v>3.3816425120772937E-2</v>
      </c>
      <c r="H10" s="33">
        <f t="shared" ref="H10" si="6">(H9-G9)/H9</f>
        <v>3.3816425120772861E-2</v>
      </c>
      <c r="I10" s="33">
        <f t="shared" ref="I10" si="7">(I9-H9)/I9</f>
        <v>3.3816425120772826E-2</v>
      </c>
      <c r="J10" s="33">
        <f t="shared" ref="J10" si="8">(J9-I9)/J9</f>
        <v>3.3816425120772875E-2</v>
      </c>
      <c r="K10" s="33">
        <f t="shared" ref="K10" si="9">(K9-J9)/K9</f>
        <v>3.3816425120772937E-2</v>
      </c>
      <c r="L10" s="33">
        <f t="shared" ref="L10" si="10">(L9-K9)/L9</f>
        <v>3.3816425120772868E-2</v>
      </c>
      <c r="M10" s="33">
        <f t="shared" ref="M10" si="11">(M9-L9)/M9</f>
        <v>3.3816425120772792E-2</v>
      </c>
      <c r="N10" s="33">
        <f t="shared" ref="N10" si="12">(N9-M9)/N9</f>
        <v>3.3816425120773E-2</v>
      </c>
      <c r="O10" s="33">
        <f t="shared" ref="O10" si="13">(O9-N9)/O9</f>
        <v>3.3816425120772944E-2</v>
      </c>
      <c r="P10" s="33">
        <f t="shared" ref="P10" si="14">(P9-O9)/P9</f>
        <v>3.3816425120773125E-2</v>
      </c>
      <c r="Q10" s="33">
        <f t="shared" ref="Q10" si="15">(Q9-P9)/Q9</f>
        <v>3.3816425120772736E-2</v>
      </c>
      <c r="R10" s="33">
        <f t="shared" ref="R10" si="16">(R9-Q9)/R9</f>
        <v>3.3816425120772903E-2</v>
      </c>
      <c r="S10" s="3"/>
    </row>
    <row r="11" spans="1:26" ht="14.25" customHeight="1" x14ac:dyDescent="0.25">
      <c r="A11" s="49" t="s">
        <v>62</v>
      </c>
      <c r="B11" s="50">
        <f>B9+B7</f>
        <v>40000</v>
      </c>
      <c r="C11" s="50">
        <f>C9+C7</f>
        <v>43875</v>
      </c>
      <c r="D11" s="50">
        <f>D9+D7</f>
        <v>47780.625000000007</v>
      </c>
      <c r="E11" s="50">
        <f>E9+E7</f>
        <v>51717.946875000001</v>
      </c>
      <c r="F11" s="51">
        <f>F9+F7</f>
        <v>55688.075015625</v>
      </c>
      <c r="G11" s="50">
        <f>G9+G7</f>
        <v>59692.157641171871</v>
      </c>
      <c r="H11" s="50">
        <f>H9+H7</f>
        <v>63731.383158612887</v>
      </c>
      <c r="I11" s="50">
        <f>I9+I7</f>
        <v>67806.981569164331</v>
      </c>
      <c r="J11" s="50">
        <f>J9+J7</f>
        <v>71920.225924085084</v>
      </c>
      <c r="K11" s="50">
        <f>K9+K7</f>
        <v>76072.433831428061</v>
      </c>
      <c r="L11" s="50">
        <f>L9+L7</f>
        <v>80264.96901552804</v>
      </c>
      <c r="M11" s="50">
        <f>M9+M7</f>
        <v>84499.242931071523</v>
      </c>
      <c r="N11" s="50">
        <f>N9+N7</f>
        <v>88776.716433659021</v>
      </c>
      <c r="O11" s="50">
        <f>O9+O7</f>
        <v>93098.901508837094</v>
      </c>
      <c r="P11" s="50">
        <f>P9+P7</f>
        <v>97467.363061646392</v>
      </c>
      <c r="Q11" s="50">
        <f>Q9+Q7</f>
        <v>101883.72076880401</v>
      </c>
      <c r="R11" s="50">
        <f>R9+R7</f>
        <v>106349.65099571215</v>
      </c>
      <c r="S11" s="52">
        <f>SUM(B11:R11)</f>
        <v>1230625.3937303456</v>
      </c>
      <c r="T11" s="49"/>
    </row>
    <row r="12" spans="1:26" ht="14.25" customHeight="1" x14ac:dyDescent="0.25">
      <c r="A12" s="53" t="s">
        <v>20</v>
      </c>
      <c r="B12" s="47"/>
      <c r="C12" s="47"/>
      <c r="D12" s="47"/>
      <c r="E12" s="47"/>
      <c r="F12" s="54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4.25" customHeight="1" x14ac:dyDescent="0.25">
      <c r="A13" s="55" t="s">
        <v>63</v>
      </c>
      <c r="B13" s="56"/>
      <c r="C13" s="56"/>
      <c r="D13" s="56"/>
      <c r="E13" s="56"/>
      <c r="F13" s="57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4.25" customHeight="1" x14ac:dyDescent="0.25">
      <c r="A14" s="2" t="s">
        <v>21</v>
      </c>
      <c r="B14" s="31">
        <v>30000</v>
      </c>
      <c r="C14" s="31">
        <v>20000</v>
      </c>
      <c r="D14" s="31">
        <v>10000</v>
      </c>
      <c r="E14" s="31">
        <v>0</v>
      </c>
      <c r="F14" s="32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f t="shared" ref="S14:S31" si="17">SUM(G14:R14)</f>
        <v>0</v>
      </c>
      <c r="T14" s="4">
        <f>S14/$S$11</f>
        <v>0</v>
      </c>
    </row>
    <row r="15" spans="1:26" ht="14.25" customHeight="1" x14ac:dyDescent="0.25">
      <c r="A15" s="2" t="s">
        <v>22</v>
      </c>
      <c r="B15" s="31">
        <v>100000</v>
      </c>
      <c r="C15" s="31">
        <v>100000</v>
      </c>
      <c r="D15" s="31">
        <v>100000</v>
      </c>
      <c r="E15" s="31">
        <v>25000</v>
      </c>
      <c r="F15" s="32">
        <v>25000</v>
      </c>
      <c r="G15" s="31">
        <v>5000</v>
      </c>
      <c r="H15" s="31">
        <v>5000</v>
      </c>
      <c r="I15" s="31">
        <v>5000</v>
      </c>
      <c r="J15" s="31">
        <v>5000</v>
      </c>
      <c r="K15" s="31">
        <v>5000</v>
      </c>
      <c r="L15" s="31">
        <v>5000</v>
      </c>
      <c r="M15" s="31">
        <v>5000</v>
      </c>
      <c r="N15" s="31">
        <v>5000</v>
      </c>
      <c r="O15" s="31">
        <v>5000</v>
      </c>
      <c r="P15" s="31">
        <v>5000</v>
      </c>
      <c r="Q15" s="31">
        <v>5000</v>
      </c>
      <c r="R15" s="31">
        <v>5000</v>
      </c>
      <c r="S15" s="31">
        <f t="shared" si="17"/>
        <v>60000</v>
      </c>
      <c r="T15" s="4">
        <f t="shared" ref="T15:T32" si="18">S15/$S$11</f>
        <v>4.8755697961119095E-2</v>
      </c>
    </row>
    <row r="16" spans="1:26" ht="14.25" customHeight="1" x14ac:dyDescent="0.25">
      <c r="A16" s="2" t="s">
        <v>25</v>
      </c>
      <c r="B16" s="31">
        <v>2000</v>
      </c>
      <c r="C16" s="31">
        <v>2000</v>
      </c>
      <c r="D16" s="31">
        <v>2000</v>
      </c>
      <c r="E16" s="31">
        <v>2000</v>
      </c>
      <c r="F16" s="32">
        <v>2000</v>
      </c>
      <c r="G16" s="31">
        <v>2000</v>
      </c>
      <c r="H16" s="31">
        <v>2000</v>
      </c>
      <c r="I16" s="31">
        <v>2000</v>
      </c>
      <c r="J16" s="31">
        <v>2000</v>
      </c>
      <c r="K16" s="31">
        <v>2000</v>
      </c>
      <c r="L16" s="31">
        <v>2000</v>
      </c>
      <c r="M16" s="31">
        <v>2000</v>
      </c>
      <c r="N16" s="31">
        <v>2000</v>
      </c>
      <c r="O16" s="31">
        <v>2000</v>
      </c>
      <c r="P16" s="31">
        <v>2000</v>
      </c>
      <c r="Q16" s="31">
        <v>2000</v>
      </c>
      <c r="R16" s="31">
        <v>2000</v>
      </c>
      <c r="S16" s="31">
        <f t="shared" si="17"/>
        <v>24000</v>
      </c>
      <c r="T16" s="4">
        <f t="shared" si="18"/>
        <v>1.9502279184447639E-2</v>
      </c>
    </row>
    <row r="17" spans="1:20" ht="14.25" customHeight="1" x14ac:dyDescent="0.25">
      <c r="A17" s="2" t="s">
        <v>26</v>
      </c>
      <c r="B17" s="31">
        <v>5000</v>
      </c>
      <c r="C17" s="31">
        <v>5000</v>
      </c>
      <c r="D17" s="31">
        <v>5000</v>
      </c>
      <c r="E17" s="31">
        <v>5000</v>
      </c>
      <c r="F17" s="32">
        <v>5000</v>
      </c>
      <c r="G17" s="31">
        <v>5000</v>
      </c>
      <c r="H17" s="31">
        <v>5000</v>
      </c>
      <c r="I17" s="31">
        <v>5000</v>
      </c>
      <c r="J17" s="31">
        <v>5000</v>
      </c>
      <c r="K17" s="31">
        <v>5000</v>
      </c>
      <c r="L17" s="31">
        <v>5000</v>
      </c>
      <c r="M17" s="31">
        <v>5000</v>
      </c>
      <c r="N17" s="31">
        <v>5000</v>
      </c>
      <c r="O17" s="31">
        <v>5000</v>
      </c>
      <c r="P17" s="31">
        <v>5000</v>
      </c>
      <c r="Q17" s="31">
        <v>5000</v>
      </c>
      <c r="R17" s="31">
        <v>5000</v>
      </c>
      <c r="S17" s="31">
        <f t="shared" si="17"/>
        <v>60000</v>
      </c>
      <c r="T17" s="4">
        <f t="shared" si="18"/>
        <v>4.8755697961119095E-2</v>
      </c>
    </row>
    <row r="18" spans="1:20" ht="14.25" customHeight="1" x14ac:dyDescent="0.25">
      <c r="A18" s="2" t="s">
        <v>27</v>
      </c>
      <c r="B18" s="31">
        <v>1000</v>
      </c>
      <c r="C18" s="31">
        <v>1000</v>
      </c>
      <c r="D18" s="31">
        <v>1000</v>
      </c>
      <c r="E18" s="31">
        <v>1000</v>
      </c>
      <c r="F18" s="32">
        <v>1000</v>
      </c>
      <c r="G18" s="31">
        <v>1000</v>
      </c>
      <c r="H18" s="31">
        <v>1000</v>
      </c>
      <c r="I18" s="31">
        <v>1000</v>
      </c>
      <c r="J18" s="31">
        <v>1000</v>
      </c>
      <c r="K18" s="31">
        <v>1000</v>
      </c>
      <c r="L18" s="31">
        <v>1000</v>
      </c>
      <c r="M18" s="31">
        <v>1000</v>
      </c>
      <c r="N18" s="31">
        <v>1000</v>
      </c>
      <c r="O18" s="31">
        <v>1000</v>
      </c>
      <c r="P18" s="31">
        <v>1000</v>
      </c>
      <c r="Q18" s="31">
        <v>1000</v>
      </c>
      <c r="R18" s="31">
        <v>1000</v>
      </c>
      <c r="S18" s="31">
        <f t="shared" si="17"/>
        <v>12000</v>
      </c>
      <c r="T18" s="4">
        <f t="shared" si="18"/>
        <v>9.7511395922238193E-3</v>
      </c>
    </row>
    <row r="19" spans="1:20" ht="14.25" customHeight="1" x14ac:dyDescent="0.25">
      <c r="A19" s="2" t="s">
        <v>28</v>
      </c>
      <c r="B19" s="31">
        <v>1000</v>
      </c>
      <c r="C19" s="31">
        <v>1000</v>
      </c>
      <c r="D19" s="31">
        <v>1000</v>
      </c>
      <c r="E19" s="31">
        <v>1000</v>
      </c>
      <c r="F19" s="32">
        <v>1000</v>
      </c>
      <c r="G19" s="31">
        <v>1000</v>
      </c>
      <c r="H19" s="31">
        <v>1000</v>
      </c>
      <c r="I19" s="31">
        <v>1000</v>
      </c>
      <c r="J19" s="31">
        <v>1000</v>
      </c>
      <c r="K19" s="31">
        <v>1000</v>
      </c>
      <c r="L19" s="31">
        <v>1000</v>
      </c>
      <c r="M19" s="31">
        <v>1000</v>
      </c>
      <c r="N19" s="31">
        <v>1000</v>
      </c>
      <c r="O19" s="31">
        <v>1000</v>
      </c>
      <c r="P19" s="31">
        <v>1000</v>
      </c>
      <c r="Q19" s="31">
        <v>1000</v>
      </c>
      <c r="R19" s="31">
        <v>1000</v>
      </c>
      <c r="S19" s="31">
        <f t="shared" si="17"/>
        <v>12000</v>
      </c>
      <c r="T19" s="4">
        <f t="shared" si="18"/>
        <v>9.7511395922238193E-3</v>
      </c>
    </row>
    <row r="20" spans="1:20" ht="14.25" customHeight="1" x14ac:dyDescent="0.25">
      <c r="A20" s="2" t="s">
        <v>30</v>
      </c>
      <c r="B20" s="31">
        <v>1000</v>
      </c>
      <c r="C20" s="31">
        <v>1000</v>
      </c>
      <c r="D20" s="31">
        <v>1000</v>
      </c>
      <c r="E20" s="31">
        <v>1000</v>
      </c>
      <c r="F20" s="32">
        <v>1000</v>
      </c>
      <c r="G20" s="31">
        <v>1000</v>
      </c>
      <c r="H20" s="31">
        <v>1000</v>
      </c>
      <c r="I20" s="31">
        <v>1000</v>
      </c>
      <c r="J20" s="31">
        <v>1000</v>
      </c>
      <c r="K20" s="31">
        <v>1000</v>
      </c>
      <c r="L20" s="31">
        <v>1000</v>
      </c>
      <c r="M20" s="31">
        <v>1000</v>
      </c>
      <c r="N20" s="31">
        <v>1000</v>
      </c>
      <c r="O20" s="31">
        <v>1000</v>
      </c>
      <c r="P20" s="31">
        <v>1000</v>
      </c>
      <c r="Q20" s="31">
        <v>1000</v>
      </c>
      <c r="R20" s="31">
        <v>1000</v>
      </c>
      <c r="S20" s="31">
        <f t="shared" si="17"/>
        <v>12000</v>
      </c>
      <c r="T20" s="4">
        <f t="shared" si="18"/>
        <v>9.7511395922238193E-3</v>
      </c>
    </row>
    <row r="21" spans="1:20" ht="14.25" customHeight="1" x14ac:dyDescent="0.25">
      <c r="A21" s="2" t="s">
        <v>31</v>
      </c>
      <c r="B21" s="31">
        <v>15000</v>
      </c>
      <c r="C21" s="31">
        <v>10000</v>
      </c>
      <c r="D21" s="31">
        <v>5000</v>
      </c>
      <c r="E21" s="31">
        <v>5000</v>
      </c>
      <c r="F21" s="32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f t="shared" si="17"/>
        <v>0</v>
      </c>
      <c r="T21" s="4">
        <f t="shared" si="18"/>
        <v>0</v>
      </c>
    </row>
    <row r="22" spans="1:20" ht="14.25" customHeight="1" x14ac:dyDescent="0.25">
      <c r="A22" s="58" t="s">
        <v>64</v>
      </c>
      <c r="B22" s="31"/>
      <c r="C22" s="31"/>
      <c r="D22" s="31"/>
      <c r="E22" s="31"/>
      <c r="F22" s="3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>
        <f t="shared" si="17"/>
        <v>0</v>
      </c>
      <c r="T22" s="4">
        <f t="shared" si="18"/>
        <v>0</v>
      </c>
    </row>
    <row r="23" spans="1:20" ht="14.25" customHeight="1" x14ac:dyDescent="0.25">
      <c r="A23" s="7" t="s">
        <v>29</v>
      </c>
      <c r="B23" s="31">
        <f t="shared" ref="B23:R23" si="19">0.03*B11</f>
        <v>1200</v>
      </c>
      <c r="C23" s="31">
        <f t="shared" si="19"/>
        <v>1316.25</v>
      </c>
      <c r="D23" s="31">
        <f t="shared" si="19"/>
        <v>1433.4187500000003</v>
      </c>
      <c r="E23" s="31">
        <f t="shared" si="19"/>
        <v>1551.53840625</v>
      </c>
      <c r="F23" s="32">
        <f t="shared" si="19"/>
        <v>1670.64225046875</v>
      </c>
      <c r="G23" s="31">
        <f t="shared" si="19"/>
        <v>1790.764729235156</v>
      </c>
      <c r="H23" s="31">
        <f t="shared" si="19"/>
        <v>1911.9414947583866</v>
      </c>
      <c r="I23" s="31">
        <f t="shared" si="19"/>
        <v>2034.2094470749298</v>
      </c>
      <c r="J23" s="31">
        <f t="shared" si="19"/>
        <v>2157.6067777225526</v>
      </c>
      <c r="K23" s="31">
        <f t="shared" si="19"/>
        <v>2282.1730149428417</v>
      </c>
      <c r="L23" s="31">
        <f t="shared" si="19"/>
        <v>2407.949070465841</v>
      </c>
      <c r="M23" s="31">
        <f t="shared" si="19"/>
        <v>2534.9772879321458</v>
      </c>
      <c r="N23" s="31">
        <f t="shared" si="19"/>
        <v>2663.3014930097706</v>
      </c>
      <c r="O23" s="31">
        <f t="shared" si="19"/>
        <v>2792.9670452651126</v>
      </c>
      <c r="P23" s="31">
        <f t="shared" si="19"/>
        <v>2924.0208918493918</v>
      </c>
      <c r="Q23" s="31">
        <f t="shared" si="19"/>
        <v>3056.5116230641202</v>
      </c>
      <c r="R23" s="31">
        <f t="shared" si="19"/>
        <v>3190.4895298713641</v>
      </c>
      <c r="S23" s="31">
        <f t="shared" si="17"/>
        <v>29746.912405191615</v>
      </c>
      <c r="T23" s="4">
        <f t="shared" si="18"/>
        <v>2.4172191275056487E-2</v>
      </c>
    </row>
    <row r="24" spans="1:20" ht="14.25" customHeight="1" x14ac:dyDescent="0.25">
      <c r="A24" s="7" t="s">
        <v>23</v>
      </c>
      <c r="B24" s="31">
        <f>MAX(5000,2*B8)</f>
        <v>5000</v>
      </c>
      <c r="C24" s="31">
        <f>MAX(5000,2*C8)</f>
        <v>5000</v>
      </c>
      <c r="D24" s="31">
        <f>MAX(5000,2*D8)</f>
        <v>5000</v>
      </c>
      <c r="E24" s="31">
        <f>MAX(5000,2*E8)</f>
        <v>5000</v>
      </c>
      <c r="F24" s="32">
        <f>MAX(5000,2*F8)</f>
        <v>5000</v>
      </c>
      <c r="G24" s="31">
        <f>MAX(5000,2*G8)</f>
        <v>5000</v>
      </c>
      <c r="H24" s="31">
        <f>MAX(5000,2*H8)</f>
        <v>5000</v>
      </c>
      <c r="I24" s="31">
        <f>MAX(5000,2*I8)</f>
        <v>5000</v>
      </c>
      <c r="J24" s="31">
        <f>MAX(5000,2*J8)</f>
        <v>5000</v>
      </c>
      <c r="K24" s="31">
        <f>MAX(5000,2*K8)</f>
        <v>5000</v>
      </c>
      <c r="L24" s="31">
        <f>MAX(5000,2*L8)</f>
        <v>5000</v>
      </c>
      <c r="M24" s="31">
        <f>MAX(5000,2*M8)</f>
        <v>5000</v>
      </c>
      <c r="N24" s="31">
        <f>MAX(5000,2*N8)</f>
        <v>5000</v>
      </c>
      <c r="O24" s="31">
        <f>MAX(5000,2*O8)</f>
        <v>5000</v>
      </c>
      <c r="P24" s="31">
        <f>MAX(5000,2*P8)</f>
        <v>5000</v>
      </c>
      <c r="Q24" s="31">
        <f>MAX(5000,2*Q8)</f>
        <v>5000</v>
      </c>
      <c r="R24" s="31">
        <f>MAX(5000,2*R8)</f>
        <v>5000</v>
      </c>
      <c r="S24" s="31">
        <f t="shared" si="17"/>
        <v>60000</v>
      </c>
      <c r="T24" s="4">
        <f t="shared" si="18"/>
        <v>4.8755697961119095E-2</v>
      </c>
    </row>
    <row r="25" spans="1:20" ht="14.25" customHeight="1" x14ac:dyDescent="0.25">
      <c r="A25" s="7" t="s">
        <v>24</v>
      </c>
      <c r="B25" s="31">
        <f>(($H2*B8*0.6)*($K$2/$L$2))</f>
        <v>5400</v>
      </c>
      <c r="C25" s="31">
        <f>(($H2*C8*(0.3)*($K$2/$L$2)))</f>
        <v>2794.4999999999995</v>
      </c>
      <c r="D25" s="31">
        <f>(($H2*D8*(0.3)*($K$2/$L$2)))</f>
        <v>2892.3075000000003</v>
      </c>
      <c r="E25" s="31">
        <f>(($H2*E8*(0.3)*($K$2/$L$2)))</f>
        <v>2993.5382625000002</v>
      </c>
      <c r="F25" s="31">
        <f>(($H2*F8*(0.3)*($K$2/$L$2)))</f>
        <v>3098.3121016874998</v>
      </c>
      <c r="G25" s="31">
        <f>(($H2*G8*(0.3)*($K$2/$L$2)))</f>
        <v>3206.7530252465622</v>
      </c>
      <c r="H25" s="31">
        <f>(($H2*H8*(0.3)*($K$2/$L$2)))</f>
        <v>3318.9893811301918</v>
      </c>
      <c r="I25" s="31">
        <f>(($H2*I8*(0.3)*($K$2/$L$2)))</f>
        <v>3435.1540094697475</v>
      </c>
      <c r="J25" s="31">
        <f>(($H2*J8*(0.3)*($K$2/$L$2)))</f>
        <v>3555.3843998011889</v>
      </c>
      <c r="K25" s="31">
        <f>(($H2*K8*(0.3)*($K$2/$L$2)))</f>
        <v>3679.82285379423</v>
      </c>
      <c r="L25" s="31">
        <f>(($H2*L8*(0.3)*($K$2/$L$2)))</f>
        <v>3808.6166536770279</v>
      </c>
      <c r="M25" s="31">
        <f>(($H2*M8*(0.3)*($K$2/$L$2)))</f>
        <v>3941.918236555724</v>
      </c>
      <c r="N25" s="31">
        <f>(($H2*N8*(0.3)*($K$2/$L$2)))</f>
        <v>4079.8853748351735</v>
      </c>
      <c r="O25" s="31">
        <f>(($H2*O8*(0.3)*($K$2/$L$2)))</f>
        <v>4222.6813629544049</v>
      </c>
      <c r="P25" s="31">
        <f>(($H2*P8*(0.3)*($K$2/$L$2)))</f>
        <v>4370.4752106578098</v>
      </c>
      <c r="Q25" s="31">
        <f>(($H2*Q8*(0.3)*($K$2/$L$2)))</f>
        <v>4523.4418430308315</v>
      </c>
      <c r="R25" s="31">
        <f>(($H2*R8*(0.3)*($K$2/$L$2)))</f>
        <v>4681.7623075369111</v>
      </c>
      <c r="S25" s="31">
        <f t="shared" si="17"/>
        <v>46824.8846586898</v>
      </c>
      <c r="T25" s="4">
        <f t="shared" si="18"/>
        <v>3.8049665558055321E-2</v>
      </c>
    </row>
    <row r="26" spans="1:20" ht="14.25" customHeight="1" x14ac:dyDescent="0.25">
      <c r="A26" s="14" t="s">
        <v>32</v>
      </c>
      <c r="B26" s="31"/>
      <c r="C26" s="31"/>
      <c r="D26" s="31"/>
      <c r="E26" s="31"/>
      <c r="F26" s="32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>
        <f t="shared" si="17"/>
        <v>0</v>
      </c>
      <c r="T26" s="4">
        <f t="shared" si="18"/>
        <v>0</v>
      </c>
    </row>
    <row r="27" spans="1:20" ht="14.25" customHeight="1" x14ac:dyDescent="0.25">
      <c r="A27" s="2" t="s">
        <v>33</v>
      </c>
      <c r="B27" s="31">
        <f t="shared" ref="B27:R27" si="20">6000+(0.01*B11)</f>
        <v>6400</v>
      </c>
      <c r="C27" s="31">
        <f t="shared" si="20"/>
        <v>6438.75</v>
      </c>
      <c r="D27" s="31">
        <f t="shared" si="20"/>
        <v>6477.8062499999996</v>
      </c>
      <c r="E27" s="31">
        <f t="shared" si="20"/>
        <v>6517.1794687500005</v>
      </c>
      <c r="F27" s="32">
        <f t="shared" si="20"/>
        <v>6556.8807501562496</v>
      </c>
      <c r="G27" s="31">
        <f t="shared" si="20"/>
        <v>6596.9215764117189</v>
      </c>
      <c r="H27" s="31">
        <f t="shared" si="20"/>
        <v>6637.3138315861288</v>
      </c>
      <c r="I27" s="31">
        <f t="shared" si="20"/>
        <v>6678.0698156916433</v>
      </c>
      <c r="J27" s="31">
        <f t="shared" si="20"/>
        <v>6719.2022592408512</v>
      </c>
      <c r="K27" s="31">
        <f t="shared" si="20"/>
        <v>6760.7243383142804</v>
      </c>
      <c r="L27" s="31">
        <f t="shared" si="20"/>
        <v>6802.64969015528</v>
      </c>
      <c r="M27" s="31">
        <f t="shared" si="20"/>
        <v>6844.9924293107151</v>
      </c>
      <c r="N27" s="31">
        <f t="shared" si="20"/>
        <v>6887.7671643365902</v>
      </c>
      <c r="O27" s="31">
        <f t="shared" si="20"/>
        <v>6930.9890150883712</v>
      </c>
      <c r="P27" s="31">
        <f t="shared" si="20"/>
        <v>6974.6736306164639</v>
      </c>
      <c r="Q27" s="31">
        <f t="shared" si="20"/>
        <v>7018.8372076880405</v>
      </c>
      <c r="R27" s="31">
        <f t="shared" si="20"/>
        <v>7063.4965099571218</v>
      </c>
      <c r="S27" s="31">
        <f t="shared" si="17"/>
        <v>81915.63746839721</v>
      </c>
      <c r="T27" s="4">
        <f t="shared" si="18"/>
        <v>6.6564234645028419E-2</v>
      </c>
    </row>
    <row r="28" spans="1:20" ht="14.25" customHeight="1" x14ac:dyDescent="0.25">
      <c r="A28" s="2" t="s">
        <v>34</v>
      </c>
      <c r="B28" s="31">
        <f>4000*ROUNDUP((B8/700),0)</f>
        <v>8000</v>
      </c>
      <c r="C28" s="31">
        <f>4000*ROUNDUP((C8/700),0)</f>
        <v>8000</v>
      </c>
      <c r="D28" s="31">
        <f>4000*ROUNDUP((D8/700),0)</f>
        <v>8000</v>
      </c>
      <c r="E28" s="31">
        <f>4000*ROUNDUP((E8/700),0)</f>
        <v>8000</v>
      </c>
      <c r="F28" s="32">
        <f>4000*ROUNDUP((F8/700),0)</f>
        <v>8000</v>
      </c>
      <c r="G28" s="31">
        <f>4000*ROUNDUP((G8/700),0)</f>
        <v>8000</v>
      </c>
      <c r="H28" s="31">
        <f>4000*ROUNDUP((H8/700),0)</f>
        <v>8000</v>
      </c>
      <c r="I28" s="31">
        <f>4000*ROUNDUP((I8/700),0)</f>
        <v>8000</v>
      </c>
      <c r="J28" s="31">
        <f>4000*ROUNDUP((J8/700),0)</f>
        <v>8000</v>
      </c>
      <c r="K28" s="31">
        <f>4000*ROUNDUP((K8/700),0)</f>
        <v>8000</v>
      </c>
      <c r="L28" s="31">
        <f>4000*ROUNDUP((L8/700),0)</f>
        <v>12000</v>
      </c>
      <c r="M28" s="31">
        <f>4000*ROUNDUP((M8/700),0)</f>
        <v>12000</v>
      </c>
      <c r="N28" s="31">
        <f>4000*ROUNDUP((N8/700),0)</f>
        <v>12000</v>
      </c>
      <c r="O28" s="31">
        <f>4000*ROUNDUP((O8/700),0)</f>
        <v>12000</v>
      </c>
      <c r="P28" s="31">
        <f>4000*ROUNDUP((P8/700),0)</f>
        <v>12000</v>
      </c>
      <c r="Q28" s="31">
        <f>4000*ROUNDUP((Q8/700),0)</f>
        <v>12000</v>
      </c>
      <c r="R28" s="31">
        <f>4000*ROUNDUP((R8/700),0)</f>
        <v>12000</v>
      </c>
      <c r="S28" s="31">
        <f t="shared" si="17"/>
        <v>124000</v>
      </c>
      <c r="T28" s="4">
        <f t="shared" si="18"/>
        <v>0.1007617757863128</v>
      </c>
    </row>
    <row r="29" spans="1:20" ht="14.25" customHeight="1" x14ac:dyDescent="0.25">
      <c r="A29" s="2" t="s">
        <v>35</v>
      </c>
      <c r="B29" s="31">
        <f>1000*ROUNDUP((B8/400),0)</f>
        <v>3000</v>
      </c>
      <c r="C29" s="31">
        <f>1000*ROUNDUP((C8/400),0)</f>
        <v>3000</v>
      </c>
      <c r="D29" s="31">
        <f>1000*ROUNDUP((D8/400),0)</f>
        <v>3000</v>
      </c>
      <c r="E29" s="31">
        <f>1000*ROUNDUP((E8/400),0)</f>
        <v>3000</v>
      </c>
      <c r="F29" s="32">
        <f>1000*ROUNDUP((F8/400),0)</f>
        <v>3000</v>
      </c>
      <c r="G29" s="31">
        <f>1000*ROUNDUP((G8/400),0)</f>
        <v>3000</v>
      </c>
      <c r="H29" s="31">
        <f>1000*ROUNDUP((H8/400),0)</f>
        <v>4000</v>
      </c>
      <c r="I29" s="31">
        <f>1000*ROUNDUP((I8/400),0)</f>
        <v>4000</v>
      </c>
      <c r="J29" s="31">
        <f>1000*ROUNDUP((J8/400),0)</f>
        <v>4000</v>
      </c>
      <c r="K29" s="31">
        <f>1000*ROUNDUP((K8/400),0)</f>
        <v>4000</v>
      </c>
      <c r="L29" s="31">
        <f>1000*ROUNDUP((L8/400),0)</f>
        <v>4000</v>
      </c>
      <c r="M29" s="31">
        <f>1000*ROUNDUP((M8/400),0)</f>
        <v>4000</v>
      </c>
      <c r="N29" s="31">
        <f>1000*ROUNDUP((N8/400),0)</f>
        <v>4000</v>
      </c>
      <c r="O29" s="31">
        <f>1000*ROUNDUP((O8/400),0)</f>
        <v>4000</v>
      </c>
      <c r="P29" s="31">
        <f>1000*ROUNDUP((P8/400),0)</f>
        <v>5000</v>
      </c>
      <c r="Q29" s="31">
        <f>1000*ROUNDUP((Q8/400),0)</f>
        <v>5000</v>
      </c>
      <c r="R29" s="31">
        <f>1000*ROUNDUP((R8/400),0)</f>
        <v>5000</v>
      </c>
      <c r="S29" s="31">
        <f t="shared" si="17"/>
        <v>50000</v>
      </c>
      <c r="T29" s="4">
        <f t="shared" si="18"/>
        <v>4.0629748300932585E-2</v>
      </c>
    </row>
    <row r="30" spans="1:20" ht="14.25" customHeight="1" x14ac:dyDescent="0.25">
      <c r="A30" s="2" t="s">
        <v>36</v>
      </c>
      <c r="B30" s="31">
        <f t="shared" ref="B30:R30" si="21">4000*5</f>
        <v>20000</v>
      </c>
      <c r="C30" s="31">
        <f t="shared" si="21"/>
        <v>20000</v>
      </c>
      <c r="D30" s="31">
        <f t="shared" si="21"/>
        <v>20000</v>
      </c>
      <c r="E30" s="31">
        <f t="shared" si="21"/>
        <v>20000</v>
      </c>
      <c r="F30" s="32">
        <f t="shared" si="21"/>
        <v>20000</v>
      </c>
      <c r="G30" s="31">
        <f t="shared" si="21"/>
        <v>20000</v>
      </c>
      <c r="H30" s="31">
        <f t="shared" si="21"/>
        <v>20000</v>
      </c>
      <c r="I30" s="31">
        <f t="shared" si="21"/>
        <v>20000</v>
      </c>
      <c r="J30" s="31">
        <f t="shared" si="21"/>
        <v>20000</v>
      </c>
      <c r="K30" s="31">
        <f t="shared" si="21"/>
        <v>20000</v>
      </c>
      <c r="L30" s="31">
        <f t="shared" si="21"/>
        <v>20000</v>
      </c>
      <c r="M30" s="31">
        <f t="shared" si="21"/>
        <v>20000</v>
      </c>
      <c r="N30" s="31">
        <f t="shared" si="21"/>
        <v>20000</v>
      </c>
      <c r="O30" s="31">
        <f t="shared" si="21"/>
        <v>20000</v>
      </c>
      <c r="P30" s="31">
        <f t="shared" si="21"/>
        <v>20000</v>
      </c>
      <c r="Q30" s="31">
        <f t="shared" si="21"/>
        <v>20000</v>
      </c>
      <c r="R30" s="31">
        <f t="shared" si="21"/>
        <v>20000</v>
      </c>
      <c r="S30" s="31">
        <f t="shared" si="17"/>
        <v>240000</v>
      </c>
      <c r="T30" s="4">
        <f t="shared" si="18"/>
        <v>0.19502279184447638</v>
      </c>
    </row>
    <row r="31" spans="1:20" ht="14.25" customHeight="1" x14ac:dyDescent="0.25">
      <c r="A31" s="2" t="s">
        <v>37</v>
      </c>
      <c r="B31" s="31">
        <f>3000*ROUNDUP((B8/500),0)</f>
        <v>6000</v>
      </c>
      <c r="C31" s="31">
        <f>3000*ROUNDUP((C8/500),0)</f>
        <v>9000</v>
      </c>
      <c r="D31" s="31">
        <f>3000*ROUNDUP((D8/500),0)</f>
        <v>9000</v>
      </c>
      <c r="E31" s="31">
        <f>3000*ROUNDUP((E8/500),0)</f>
        <v>9000</v>
      </c>
      <c r="F31" s="32">
        <f>3000*ROUNDUP((F8/500),0)</f>
        <v>9000</v>
      </c>
      <c r="G31" s="31">
        <f>3000*ROUNDUP((G8/500),0)</f>
        <v>9000</v>
      </c>
      <c r="H31" s="31">
        <f>3000*ROUNDUP((H8/500),0)</f>
        <v>9000</v>
      </c>
      <c r="I31" s="31">
        <f>3000*ROUNDUP((I8/500),0)</f>
        <v>9000</v>
      </c>
      <c r="J31" s="31">
        <f>3000*ROUNDUP((J8/500),0)</f>
        <v>9000</v>
      </c>
      <c r="K31" s="31">
        <f>3000*ROUNDUP((K8/500),0)</f>
        <v>9000</v>
      </c>
      <c r="L31" s="31">
        <f>3000*ROUNDUP((L8/500),0)</f>
        <v>9000</v>
      </c>
      <c r="M31" s="31">
        <f>3000*ROUNDUP((M8/500),0)</f>
        <v>9000</v>
      </c>
      <c r="N31" s="31">
        <f>3000*ROUNDUP((N8/500),0)</f>
        <v>12000</v>
      </c>
      <c r="O31" s="31">
        <f>3000*ROUNDUP((O8/500),0)</f>
        <v>12000</v>
      </c>
      <c r="P31" s="31">
        <f>3000*ROUNDUP((P8/500),0)</f>
        <v>12000</v>
      </c>
      <c r="Q31" s="31">
        <f>3000*ROUNDUP((Q8/500),0)</f>
        <v>12000</v>
      </c>
      <c r="R31" s="31">
        <f>3000*ROUNDUP((R8/500),0)</f>
        <v>12000</v>
      </c>
      <c r="S31" s="31">
        <f t="shared" si="17"/>
        <v>123000</v>
      </c>
      <c r="T31" s="4">
        <f t="shared" si="18"/>
        <v>9.9949180820294151E-2</v>
      </c>
    </row>
    <row r="32" spans="1:20" ht="14.25" customHeight="1" x14ac:dyDescent="0.25">
      <c r="A32" s="14" t="s">
        <v>38</v>
      </c>
      <c r="B32" s="31">
        <f t="shared" ref="B32:S32" si="22">SUM(B14:B31)</f>
        <v>210000</v>
      </c>
      <c r="C32" s="31">
        <f t="shared" si="22"/>
        <v>195549.5</v>
      </c>
      <c r="D32" s="31">
        <f t="shared" si="22"/>
        <v>180803.5325</v>
      </c>
      <c r="E32" s="31">
        <f t="shared" si="22"/>
        <v>96062.256137499993</v>
      </c>
      <c r="F32" s="59">
        <f t="shared" si="22"/>
        <v>91325.8351023125</v>
      </c>
      <c r="G32" s="31">
        <f t="shared" si="22"/>
        <v>71594.439330893438</v>
      </c>
      <c r="H32" s="31">
        <f t="shared" si="22"/>
        <v>72868.244707474703</v>
      </c>
      <c r="I32" s="31">
        <f t="shared" si="22"/>
        <v>73147.433272236318</v>
      </c>
      <c r="J32" s="31">
        <f t="shared" si="22"/>
        <v>73432.193436764588</v>
      </c>
      <c r="K32" s="31">
        <f t="shared" si="22"/>
        <v>73722.720207051345</v>
      </c>
      <c r="L32" s="31">
        <f t="shared" si="22"/>
        <v>78019.215414298145</v>
      </c>
      <c r="M32" s="31">
        <f t="shared" si="22"/>
        <v>78321.887953798578</v>
      </c>
      <c r="N32" s="31">
        <f t="shared" si="22"/>
        <v>81630.954032181529</v>
      </c>
      <c r="O32" s="31">
        <f t="shared" si="22"/>
        <v>81946.637423307897</v>
      </c>
      <c r="P32" s="31">
        <f t="shared" si="22"/>
        <v>83269.169733123665</v>
      </c>
      <c r="Q32" s="31">
        <f t="shared" si="22"/>
        <v>83598.790673782991</v>
      </c>
      <c r="R32" s="31">
        <f t="shared" si="22"/>
        <v>83935.748347365399</v>
      </c>
      <c r="S32" s="31">
        <f t="shared" si="22"/>
        <v>935487.43453227868</v>
      </c>
      <c r="T32" s="4">
        <f t="shared" si="18"/>
        <v>0.76017238007463261</v>
      </c>
    </row>
    <row r="33" spans="1:26" ht="14.25" customHeight="1" x14ac:dyDescent="0.25">
      <c r="A33" s="44" t="s">
        <v>39</v>
      </c>
      <c r="B33" s="60">
        <f t="shared" ref="B33:S33" si="23">B11-B32</f>
        <v>-170000</v>
      </c>
      <c r="C33" s="60">
        <f t="shared" si="23"/>
        <v>-151674.5</v>
      </c>
      <c r="D33" s="60">
        <f t="shared" si="23"/>
        <v>-133022.9075</v>
      </c>
      <c r="E33" s="60">
        <f t="shared" si="23"/>
        <v>-44344.309262499992</v>
      </c>
      <c r="F33" s="61">
        <f t="shared" si="23"/>
        <v>-35637.7600866875</v>
      </c>
      <c r="G33" s="60">
        <f t="shared" si="23"/>
        <v>-11902.281689721567</v>
      </c>
      <c r="H33" s="60">
        <f t="shared" si="23"/>
        <v>-9136.8615488618161</v>
      </c>
      <c r="I33" s="60">
        <f t="shared" si="23"/>
        <v>-5340.4517030719871</v>
      </c>
      <c r="J33" s="60">
        <f t="shared" si="23"/>
        <v>-1511.9675126795046</v>
      </c>
      <c r="K33" s="60">
        <f t="shared" si="23"/>
        <v>2349.7136243767163</v>
      </c>
      <c r="L33" s="60">
        <f t="shared" si="23"/>
        <v>2245.7536012298951</v>
      </c>
      <c r="M33" s="60">
        <f t="shared" si="23"/>
        <v>6177.3549772729457</v>
      </c>
      <c r="N33" s="60">
        <f t="shared" si="23"/>
        <v>7145.7624014774919</v>
      </c>
      <c r="O33" s="60">
        <f t="shared" si="23"/>
        <v>11152.264085529197</v>
      </c>
      <c r="P33" s="60">
        <f t="shared" si="23"/>
        <v>14198.193328522728</v>
      </c>
      <c r="Q33" s="60">
        <f t="shared" si="23"/>
        <v>18284.930095021016</v>
      </c>
      <c r="R33" s="60">
        <f t="shared" si="23"/>
        <v>22413.902648346746</v>
      </c>
      <c r="S33" s="62">
        <f t="shared" si="23"/>
        <v>295137.95919806696</v>
      </c>
      <c r="T33" s="63"/>
      <c r="U33" s="63"/>
      <c r="V33" s="63"/>
      <c r="W33" s="63"/>
      <c r="X33" s="63"/>
      <c r="Y33" s="63"/>
      <c r="Z33" s="63"/>
    </row>
    <row r="34" spans="1:26" ht="14.25" customHeight="1" x14ac:dyDescent="0.2"/>
    <row r="35" spans="1:26" ht="14.25" customHeight="1" x14ac:dyDescent="0.2"/>
    <row r="36" spans="1:26" ht="14.25" customHeight="1" x14ac:dyDescent="0.2"/>
    <row r="37" spans="1:26" ht="14.25" customHeight="1" x14ac:dyDescent="0.2"/>
    <row r="38" spans="1:26" ht="14.25" customHeight="1" x14ac:dyDescent="0.2"/>
    <row r="39" spans="1:26" ht="14.25" customHeight="1" x14ac:dyDescent="0.2"/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conditionalFormatting sqref="T14:T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Factset 2.0</vt:lpstr>
      <vt:lpstr>AirBnB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2021-06-28T17:16:35Z</dcterms:created>
  <dcterms:modified xsi:type="dcterms:W3CDTF">2021-06-28T17:16:35Z</dcterms:modified>
</cp:coreProperties>
</file>